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cmilligan\Desktop\"/>
    </mc:Choice>
  </mc:AlternateContent>
  <xr:revisionPtr revIDLastSave="0" documentId="8_{9B011C15-583C-43DC-A41F-94EDCF64F693}" xr6:coauthVersionLast="47" xr6:coauthVersionMax="47" xr10:uidLastSave="{00000000-0000-0000-0000-000000000000}"/>
  <bookViews>
    <workbookView xWindow="35088" yWindow="2256" windowWidth="17280" windowHeight="8820" tabRatio="888" activeTab="8" xr2:uid="{00000000-000D-0000-FFFF-FFFF00000000}"/>
  </bookViews>
  <sheets>
    <sheet name="Instructions" sheetId="1" r:id="rId1"/>
    <sheet name="Team and Program Information" sheetId="2" r:id="rId2"/>
    <sheet name="Results and Rankings" sheetId="3" r:id="rId3"/>
    <sheet name="Innovation Project Input" sheetId="4" r:id="rId4"/>
    <sheet name="Robot Design Input" sheetId="5" r:id="rId5"/>
    <sheet name="Robot Game Scores" sheetId="6" r:id="rId6"/>
    <sheet name="Core Values Input" sheetId="7" r:id="rId7"/>
    <sheet name="GP Scores" sheetId="8" state="hidden" r:id="rId8"/>
    <sheet name="Area Deliberations" sheetId="9" r:id="rId9"/>
  </sheets>
  <definedNames>
    <definedName name="AwardListLookup">'Team and Program Information'!$A$11:$A$20</definedName>
    <definedName name="NumberOfTeams">'Team and Program Information'!$A$5</definedName>
    <definedName name="NumberofTeamsAdvancing">'Team and Program Information'!$A$8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1" i="6" l="1"/>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M110" i="5"/>
  <c r="M111" i="5"/>
  <c r="M112" i="5"/>
  <c r="M113" i="5"/>
  <c r="M114" i="5"/>
  <c r="M115" i="5"/>
  <c r="M116" i="5"/>
  <c r="M117" i="5"/>
  <c r="M118" i="5"/>
  <c r="M119" i="5"/>
  <c r="M120" i="5"/>
  <c r="M121" i="5"/>
  <c r="M122" i="5"/>
  <c r="M123" i="5"/>
  <c r="M124" i="5"/>
  <c r="M125" i="5"/>
  <c r="M126" i="5"/>
  <c r="M127" i="5"/>
  <c r="M128" i="5"/>
  <c r="M129" i="5"/>
  <c r="M130" i="5"/>
  <c r="M131" i="5"/>
  <c r="M132" i="5"/>
  <c r="M133" i="5"/>
  <c r="M134" i="5"/>
  <c r="M135" i="5"/>
  <c r="M136" i="5"/>
  <c r="M137" i="5"/>
  <c r="M138" i="5"/>
  <c r="M139" i="5"/>
  <c r="M140" i="5"/>
  <c r="M141" i="5"/>
  <c r="M142" i="5"/>
  <c r="M143" i="5"/>
  <c r="M144" i="5"/>
  <c r="M145" i="5"/>
  <c r="M146" i="5"/>
  <c r="M147" i="5"/>
  <c r="M148" i="5"/>
  <c r="M149" i="5"/>
  <c r="M150" i="5"/>
  <c r="M151" i="5"/>
  <c r="M152" i="5"/>
  <c r="M153" i="5"/>
  <c r="M154" i="5"/>
  <c r="M155" i="5"/>
  <c r="M156" i="5"/>
  <c r="M157" i="5"/>
  <c r="M158" i="5"/>
  <c r="M159" i="5"/>
  <c r="M160" i="5"/>
  <c r="M161" i="5"/>
  <c r="M162" i="5"/>
  <c r="M163" i="5"/>
  <c r="M164" i="5"/>
  <c r="M165" i="5"/>
  <c r="M166" i="5"/>
  <c r="M167" i="5"/>
  <c r="M168" i="5"/>
  <c r="M169" i="5"/>
  <c r="M170" i="5"/>
  <c r="M171" i="5"/>
  <c r="M172" i="5"/>
  <c r="M173" i="5"/>
  <c r="M174" i="5"/>
  <c r="M175" i="5"/>
  <c r="M176" i="5"/>
  <c r="M177" i="5"/>
  <c r="M178" i="5"/>
  <c r="M179" i="5"/>
  <c r="M180" i="5"/>
  <c r="M181" i="5"/>
  <c r="M182" i="5"/>
  <c r="M183" i="5"/>
  <c r="M184" i="5"/>
  <c r="M185" i="5"/>
  <c r="M186" i="5"/>
  <c r="M187" i="5"/>
  <c r="M188" i="5"/>
  <c r="M189" i="5"/>
  <c r="M190" i="5"/>
  <c r="M191" i="5"/>
  <c r="M192" i="5"/>
  <c r="M193" i="5"/>
  <c r="M194" i="5"/>
  <c r="M195" i="5"/>
  <c r="M196" i="5"/>
  <c r="M197" i="5"/>
  <c r="M198" i="5"/>
  <c r="M199" i="5"/>
  <c r="M200" i="5"/>
  <c r="M201" i="5"/>
  <c r="M110" i="4"/>
  <c r="M111" i="4"/>
  <c r="M112" i="4"/>
  <c r="M113" i="4"/>
  <c r="M114" i="4"/>
  <c r="M115" i="4"/>
  <c r="M116" i="4"/>
  <c r="M117" i="4"/>
  <c r="M118" i="4"/>
  <c r="M119" i="4"/>
  <c r="M120" i="4"/>
  <c r="M121" i="4"/>
  <c r="M122" i="4"/>
  <c r="M123" i="4"/>
  <c r="M124" i="4"/>
  <c r="M125" i="4"/>
  <c r="M126" i="4"/>
  <c r="M127" i="4"/>
  <c r="M128" i="4"/>
  <c r="M129" i="4"/>
  <c r="M130" i="4"/>
  <c r="M131" i="4"/>
  <c r="M132" i="4"/>
  <c r="M133" i="4"/>
  <c r="M134" i="4"/>
  <c r="M135" i="4"/>
  <c r="M136" i="4"/>
  <c r="M137" i="4"/>
  <c r="M138" i="4"/>
  <c r="M139" i="4"/>
  <c r="M140" i="4"/>
  <c r="M141" i="4"/>
  <c r="M142" i="4"/>
  <c r="M143" i="4"/>
  <c r="M144" i="4"/>
  <c r="M145" i="4"/>
  <c r="M146" i="4"/>
  <c r="M147" i="4"/>
  <c r="M148" i="4"/>
  <c r="M149" i="4"/>
  <c r="M150" i="4"/>
  <c r="M151" i="4"/>
  <c r="M152" i="4"/>
  <c r="M153" i="4"/>
  <c r="M154" i="4"/>
  <c r="M155" i="4"/>
  <c r="M156" i="4"/>
  <c r="M157" i="4"/>
  <c r="M158" i="4"/>
  <c r="M159" i="4"/>
  <c r="M160" i="4"/>
  <c r="M161" i="4"/>
  <c r="M162" i="4"/>
  <c r="M163" i="4"/>
  <c r="M164" i="4"/>
  <c r="M165" i="4"/>
  <c r="M166" i="4"/>
  <c r="M167" i="4"/>
  <c r="M168" i="4"/>
  <c r="M169" i="4"/>
  <c r="M170" i="4"/>
  <c r="M171" i="4"/>
  <c r="M172" i="4"/>
  <c r="M173" i="4"/>
  <c r="M174" i="4"/>
  <c r="M175" i="4"/>
  <c r="M176" i="4"/>
  <c r="M177" i="4"/>
  <c r="M178" i="4"/>
  <c r="M179" i="4"/>
  <c r="M180" i="4"/>
  <c r="M181" i="4"/>
  <c r="M182" i="4"/>
  <c r="M183" i="4"/>
  <c r="M184" i="4"/>
  <c r="M185" i="4"/>
  <c r="M186" i="4"/>
  <c r="M187" i="4"/>
  <c r="M188" i="4"/>
  <c r="M189" i="4"/>
  <c r="M190" i="4"/>
  <c r="M191" i="4"/>
  <c r="M192" i="4"/>
  <c r="M193" i="4"/>
  <c r="M194" i="4"/>
  <c r="M195" i="4"/>
  <c r="M196" i="4"/>
  <c r="M197" i="4"/>
  <c r="M198" i="4"/>
  <c r="M199" i="4"/>
  <c r="M200" i="4"/>
  <c r="M201" i="4"/>
  <c r="M109" i="4"/>
  <c r="M54" i="9" l="1"/>
  <c r="M53" i="9"/>
  <c r="M52" i="9"/>
  <c r="M51" i="9"/>
  <c r="M50" i="9"/>
  <c r="M49" i="9"/>
  <c r="M48" i="9"/>
  <c r="M47" i="9"/>
  <c r="M46" i="9"/>
  <c r="M45" i="9"/>
  <c r="M44" i="9"/>
  <c r="M43" i="9"/>
  <c r="M42" i="9"/>
  <c r="M41" i="9"/>
  <c r="M40" i="9"/>
  <c r="H40" i="9"/>
  <c r="H41" i="9"/>
  <c r="H42" i="9"/>
  <c r="H43" i="9"/>
  <c r="H44" i="9"/>
  <c r="H45" i="9"/>
  <c r="H46" i="9"/>
  <c r="H47" i="9"/>
  <c r="H48" i="9"/>
  <c r="H49" i="9"/>
  <c r="H50" i="9"/>
  <c r="H51" i="9"/>
  <c r="H52" i="9"/>
  <c r="H53" i="9"/>
  <c r="H54" i="9"/>
  <c r="C40" i="9"/>
  <c r="C41" i="9"/>
  <c r="C42" i="9"/>
  <c r="C43" i="9"/>
  <c r="C44" i="9"/>
  <c r="C45" i="9"/>
  <c r="C46" i="9"/>
  <c r="C47" i="9"/>
  <c r="C48" i="9"/>
  <c r="C49" i="9"/>
  <c r="C50" i="9"/>
  <c r="C51" i="9"/>
  <c r="C52" i="9"/>
  <c r="C53" i="9"/>
  <c r="C54" i="9"/>
  <c r="H4" i="9"/>
  <c r="H5" i="9"/>
  <c r="H6" i="9"/>
  <c r="H7" i="9"/>
  <c r="H8" i="9"/>
  <c r="H9" i="9"/>
  <c r="H10" i="9"/>
  <c r="H11" i="9"/>
  <c r="H12" i="9"/>
  <c r="H13" i="9"/>
  <c r="H14" i="9"/>
  <c r="H15" i="9"/>
  <c r="H16" i="9"/>
  <c r="H17" i="9"/>
  <c r="H18" i="9"/>
  <c r="C4" i="9"/>
  <c r="C5" i="9"/>
  <c r="C6" i="9"/>
  <c r="C7" i="9"/>
  <c r="C8" i="9"/>
  <c r="C9" i="9"/>
  <c r="C10" i="9"/>
  <c r="C11" i="9"/>
  <c r="C12" i="9"/>
  <c r="C13" i="9"/>
  <c r="C14" i="9"/>
  <c r="C15" i="9"/>
  <c r="C16" i="9"/>
  <c r="C17" i="9"/>
  <c r="C18" i="9"/>
  <c r="C22" i="9"/>
  <c r="C23" i="9"/>
  <c r="C24" i="9"/>
  <c r="C25" i="9"/>
  <c r="C26" i="9"/>
  <c r="C27" i="9"/>
  <c r="C28" i="9"/>
  <c r="C29" i="9"/>
  <c r="C30" i="9"/>
  <c r="C31" i="9"/>
  <c r="C32" i="9"/>
  <c r="C33" i="9"/>
  <c r="C34" i="9"/>
  <c r="C35" i="9"/>
  <c r="C36" i="9"/>
  <c r="H22" i="9"/>
  <c r="H23" i="9"/>
  <c r="H24" i="9"/>
  <c r="H25" i="9"/>
  <c r="H26" i="9"/>
  <c r="H27" i="9"/>
  <c r="H28" i="9"/>
  <c r="H29" i="9"/>
  <c r="H30" i="9"/>
  <c r="H31" i="9"/>
  <c r="H32" i="9"/>
  <c r="H33" i="9"/>
  <c r="H34" i="9"/>
  <c r="H35" i="9"/>
  <c r="H36" i="9"/>
  <c r="M22" i="9"/>
  <c r="M23" i="9"/>
  <c r="M24" i="9"/>
  <c r="M25" i="9"/>
  <c r="M26" i="9"/>
  <c r="M27" i="9"/>
  <c r="M28" i="9"/>
  <c r="M29" i="9"/>
  <c r="M30" i="9"/>
  <c r="M31" i="9"/>
  <c r="M32" i="9"/>
  <c r="M33" i="9"/>
  <c r="M34" i="9"/>
  <c r="M35" i="9"/>
  <c r="M36" i="9"/>
  <c r="A3" i="3" l="1"/>
  <c r="A202" i="3"/>
  <c r="A201" i="3"/>
  <c r="A200" i="3"/>
  <c r="A199" i="3"/>
  <c r="A198" i="3"/>
  <c r="A197" i="3"/>
  <c r="A196" i="3"/>
  <c r="A195" i="3"/>
  <c r="A194" i="3"/>
  <c r="A193" i="3"/>
  <c r="A192" i="3"/>
  <c r="A191" i="3"/>
  <c r="A190" i="3"/>
  <c r="A189" i="3"/>
  <c r="A188" i="3"/>
  <c r="A187" i="3"/>
  <c r="A186" i="3"/>
  <c r="A185" i="3"/>
  <c r="A184" i="3"/>
  <c r="A183" i="3"/>
  <c r="A182" i="3"/>
  <c r="A181" i="3"/>
  <c r="A180" i="3"/>
  <c r="A179" i="3"/>
  <c r="A178" i="3"/>
  <c r="A177" i="3"/>
  <c r="A176" i="3"/>
  <c r="A175" i="3"/>
  <c r="A174" i="3"/>
  <c r="A173" i="3"/>
  <c r="A172" i="3"/>
  <c r="A171" i="3"/>
  <c r="A170" i="3"/>
  <c r="A169" i="3"/>
  <c r="A168" i="3"/>
  <c r="A167" i="3"/>
  <c r="A166" i="3"/>
  <c r="A165" i="3"/>
  <c r="A164" i="3"/>
  <c r="A163" i="3"/>
  <c r="A162" i="3"/>
  <c r="A161" i="3"/>
  <c r="A160" i="3"/>
  <c r="A159" i="3"/>
  <c r="A158" i="3"/>
  <c r="A157" i="3"/>
  <c r="A156" i="3"/>
  <c r="A155" i="3"/>
  <c r="A154" i="3"/>
  <c r="A153" i="3"/>
  <c r="A152" i="3"/>
  <c r="A151" i="3"/>
  <c r="A150" i="3"/>
  <c r="A149" i="3"/>
  <c r="A148" i="3"/>
  <c r="A147" i="3"/>
  <c r="A146" i="3"/>
  <c r="A145" i="3"/>
  <c r="A144" i="3"/>
  <c r="A143" i="3"/>
  <c r="A142" i="3"/>
  <c r="A141" i="3"/>
  <c r="A140" i="3"/>
  <c r="A139" i="3"/>
  <c r="A138" i="3"/>
  <c r="A137" i="3"/>
  <c r="A136" i="3"/>
  <c r="A135" i="3"/>
  <c r="A134" i="3"/>
  <c r="A133" i="3"/>
  <c r="A132" i="3"/>
  <c r="A131" i="3"/>
  <c r="A130" i="3"/>
  <c r="A129" i="3"/>
  <c r="A128" i="3"/>
  <c r="A127" i="3"/>
  <c r="A126" i="3"/>
  <c r="A125" i="3"/>
  <c r="A124" i="3"/>
  <c r="A123" i="3"/>
  <c r="A122" i="3"/>
  <c r="A121" i="3"/>
  <c r="A120" i="3"/>
  <c r="A119" i="3"/>
  <c r="A118" i="3"/>
  <c r="A117" i="3"/>
  <c r="A116" i="3"/>
  <c r="A115" i="3"/>
  <c r="A114" i="3"/>
  <c r="A113" i="3"/>
  <c r="A112" i="3"/>
  <c r="A111" i="3"/>
  <c r="A110" i="3"/>
  <c r="A109" i="3"/>
  <c r="A108" i="3"/>
  <c r="A107" i="3"/>
  <c r="A106" i="3"/>
  <c r="A105" i="3"/>
  <c r="A104" i="3"/>
  <c r="A103" i="3"/>
  <c r="A102" i="3"/>
  <c r="A101" i="3"/>
  <c r="A100" i="3"/>
  <c r="A99" i="3"/>
  <c r="A98" i="3"/>
  <c r="A97" i="3"/>
  <c r="A96" i="3"/>
  <c r="A95" i="3"/>
  <c r="A94" i="3"/>
  <c r="A93" i="3"/>
  <c r="A92" i="3"/>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7" i="3"/>
  <c r="A6" i="3"/>
  <c r="A5" i="3"/>
  <c r="A4" i="3"/>
  <c r="R2" i="7"/>
  <c r="R3" i="7"/>
  <c r="R4" i="7"/>
  <c r="R5" i="7"/>
  <c r="R6" i="7"/>
  <c r="R7" i="7"/>
  <c r="R8" i="7"/>
  <c r="R9" i="7"/>
  <c r="R10" i="7"/>
  <c r="R11" i="7"/>
  <c r="R12" i="7"/>
  <c r="R13" i="7"/>
  <c r="R14" i="7"/>
  <c r="R15" i="7"/>
  <c r="R16" i="7"/>
  <c r="R17" i="7"/>
  <c r="R18" i="7"/>
  <c r="R19" i="7"/>
  <c r="R20" i="7"/>
  <c r="R21" i="7"/>
  <c r="R22" i="7"/>
  <c r="R23" i="7"/>
  <c r="R24" i="7"/>
  <c r="R25" i="7"/>
  <c r="R26" i="7"/>
  <c r="R27" i="7"/>
  <c r="R28" i="7"/>
  <c r="R29" i="7"/>
  <c r="R30" i="7"/>
  <c r="R31" i="7"/>
  <c r="R32" i="7"/>
  <c r="R33" i="7"/>
  <c r="R34" i="7"/>
  <c r="R35" i="7"/>
  <c r="R36" i="7"/>
  <c r="R37" i="7"/>
  <c r="R38" i="7"/>
  <c r="R39" i="7"/>
  <c r="R40" i="7"/>
  <c r="R41" i="7"/>
  <c r="R42" i="7"/>
  <c r="R43" i="7"/>
  <c r="R44" i="7"/>
  <c r="R45" i="7"/>
  <c r="R46" i="7"/>
  <c r="R47" i="7"/>
  <c r="R48" i="7"/>
  <c r="R49" i="7"/>
  <c r="R50" i="7"/>
  <c r="R51" i="7"/>
  <c r="R52" i="7"/>
  <c r="R53" i="7"/>
  <c r="R54" i="7"/>
  <c r="R55" i="7"/>
  <c r="R56" i="7"/>
  <c r="R57" i="7"/>
  <c r="R58" i="7"/>
  <c r="R59" i="7"/>
  <c r="R60" i="7"/>
  <c r="R61" i="7"/>
  <c r="R62" i="7"/>
  <c r="R63" i="7"/>
  <c r="R64" i="7"/>
  <c r="R65" i="7"/>
  <c r="R66" i="7"/>
  <c r="R67" i="7"/>
  <c r="R68" i="7"/>
  <c r="R69" i="7"/>
  <c r="R70" i="7"/>
  <c r="R71" i="7"/>
  <c r="T71" i="7" s="1"/>
  <c r="R72" i="7"/>
  <c r="R162" i="7"/>
  <c r="R163" i="7"/>
  <c r="R164" i="7"/>
  <c r="R165" i="7"/>
  <c r="R166" i="7"/>
  <c r="R167" i="7"/>
  <c r="R168" i="7"/>
  <c r="R169" i="7"/>
  <c r="R170" i="7"/>
  <c r="R171" i="7"/>
  <c r="R172" i="7"/>
  <c r="R173" i="7"/>
  <c r="R174" i="7"/>
  <c r="R175" i="7"/>
  <c r="R176" i="7"/>
  <c r="R177" i="7"/>
  <c r="R178" i="7"/>
  <c r="R179" i="7"/>
  <c r="R180" i="7"/>
  <c r="R181" i="7"/>
  <c r="R182" i="7"/>
  <c r="R183" i="7"/>
  <c r="R184" i="7"/>
  <c r="R185" i="7"/>
  <c r="R186" i="7"/>
  <c r="R187" i="7"/>
  <c r="R188" i="7"/>
  <c r="R189" i="7"/>
  <c r="R190" i="7"/>
  <c r="R191" i="7"/>
  <c r="R192" i="7"/>
  <c r="R193" i="7"/>
  <c r="R194" i="7"/>
  <c r="R195" i="7"/>
  <c r="R196" i="7"/>
  <c r="R197" i="7"/>
  <c r="R198" i="7"/>
  <c r="R199" i="7"/>
  <c r="R200" i="7"/>
  <c r="R201" i="7"/>
  <c r="A201" i="7"/>
  <c r="A200" i="7"/>
  <c r="A199" i="7"/>
  <c r="A198" i="7"/>
  <c r="A197" i="7"/>
  <c r="A196" i="7"/>
  <c r="A195" i="7"/>
  <c r="A194" i="7"/>
  <c r="A193" i="7"/>
  <c r="A192" i="7"/>
  <c r="A191" i="7"/>
  <c r="A190" i="7"/>
  <c r="A189" i="7"/>
  <c r="A188" i="7"/>
  <c r="A187" i="7"/>
  <c r="A186" i="7"/>
  <c r="A185" i="7"/>
  <c r="A184" i="7"/>
  <c r="A183" i="7"/>
  <c r="A182" i="7"/>
  <c r="A181" i="7"/>
  <c r="A180" i="7"/>
  <c r="A179" i="7"/>
  <c r="A178" i="7"/>
  <c r="A177" i="7"/>
  <c r="A176" i="7"/>
  <c r="A175" i="7"/>
  <c r="A174" i="7"/>
  <c r="A173" i="7"/>
  <c r="A172" i="7"/>
  <c r="A171" i="7"/>
  <c r="A170" i="7"/>
  <c r="A169" i="7"/>
  <c r="A168" i="7"/>
  <c r="A167" i="7"/>
  <c r="A166" i="7"/>
  <c r="A165" i="7"/>
  <c r="A164" i="7"/>
  <c r="A163" i="7"/>
  <c r="A162" i="7"/>
  <c r="A161" i="7"/>
  <c r="A160" i="7"/>
  <c r="A159" i="7"/>
  <c r="A158" i="7"/>
  <c r="A157" i="7"/>
  <c r="A156" i="7"/>
  <c r="A155" i="7"/>
  <c r="A154" i="7"/>
  <c r="A153" i="7"/>
  <c r="A152" i="7"/>
  <c r="A151" i="7"/>
  <c r="A150" i="7"/>
  <c r="A149" i="7"/>
  <c r="A148" i="7"/>
  <c r="A147" i="7"/>
  <c r="A146" i="7"/>
  <c r="A145" i="7"/>
  <c r="A144" i="7"/>
  <c r="A143" i="7"/>
  <c r="A142" i="7"/>
  <c r="A141" i="7"/>
  <c r="A140" i="7"/>
  <c r="A139" i="7"/>
  <c r="A138" i="7"/>
  <c r="A137" i="7"/>
  <c r="A136" i="7"/>
  <c r="A135" i="7"/>
  <c r="A134" i="7"/>
  <c r="A133" i="7"/>
  <c r="A132" i="7"/>
  <c r="A131" i="7"/>
  <c r="A130" i="7"/>
  <c r="A129" i="7"/>
  <c r="A128" i="7"/>
  <c r="A127" i="7"/>
  <c r="A126" i="7"/>
  <c r="A125" i="7"/>
  <c r="A124" i="7"/>
  <c r="A123" i="7"/>
  <c r="A122" i="7"/>
  <c r="A121" i="7"/>
  <c r="A120" i="7"/>
  <c r="A119" i="7"/>
  <c r="A118" i="7"/>
  <c r="A117" i="7"/>
  <c r="A116" i="7"/>
  <c r="A115" i="7"/>
  <c r="A114" i="7"/>
  <c r="A113" i="7"/>
  <c r="A112" i="7"/>
  <c r="A111" i="7"/>
  <c r="A110" i="7"/>
  <c r="A109" i="7"/>
  <c r="A108" i="7"/>
  <c r="A107" i="7"/>
  <c r="A106" i="7"/>
  <c r="A105" i="7"/>
  <c r="A104" i="7"/>
  <c r="A103" i="7"/>
  <c r="A102" i="7"/>
  <c r="A101" i="7"/>
  <c r="A100" i="7"/>
  <c r="A99" i="7"/>
  <c r="A98" i="7"/>
  <c r="A97" i="7"/>
  <c r="A96" i="7"/>
  <c r="A95" i="7"/>
  <c r="A94" i="7"/>
  <c r="A93" i="7"/>
  <c r="A92" i="7"/>
  <c r="A91" i="7"/>
  <c r="A90" i="7"/>
  <c r="A89" i="7"/>
  <c r="A88" i="7"/>
  <c r="A87" i="7"/>
  <c r="A86" i="7"/>
  <c r="A85" i="7"/>
  <c r="A84" i="7"/>
  <c r="A83" i="7"/>
  <c r="A82" i="7"/>
  <c r="A81" i="7"/>
  <c r="A80" i="7"/>
  <c r="A79" i="7"/>
  <c r="A78" i="7"/>
  <c r="A77" i="7"/>
  <c r="A76" i="7"/>
  <c r="A75" i="7"/>
  <c r="A74" i="7"/>
  <c r="A73" i="7"/>
  <c r="A72" i="7"/>
  <c r="A71" i="7"/>
  <c r="A70" i="7"/>
  <c r="A69" i="7"/>
  <c r="A68" i="7"/>
  <c r="A67" i="7"/>
  <c r="A66" i="7"/>
  <c r="A65" i="7"/>
  <c r="A64" i="7"/>
  <c r="A63" i="7"/>
  <c r="A62" i="7"/>
  <c r="A61" i="7"/>
  <c r="A60" i="7"/>
  <c r="A59" i="7"/>
  <c r="A58" i="7"/>
  <c r="A57" i="7"/>
  <c r="A56" i="7"/>
  <c r="A55" i="7"/>
  <c r="A54" i="7"/>
  <c r="A53" i="7"/>
  <c r="A52" i="7"/>
  <c r="A51" i="7"/>
  <c r="A50" i="7"/>
  <c r="A49" i="7"/>
  <c r="A48" i="7"/>
  <c r="A47" i="7"/>
  <c r="A46" i="7"/>
  <c r="A45" i="7"/>
  <c r="A44" i="7"/>
  <c r="A43" i="7"/>
  <c r="A42" i="7"/>
  <c r="A41" i="7"/>
  <c r="A40" i="7"/>
  <c r="A39" i="7"/>
  <c r="A38" i="7"/>
  <c r="A37" i="7"/>
  <c r="A36" i="7"/>
  <c r="A35" i="7"/>
  <c r="A34" i="7"/>
  <c r="A33" i="7"/>
  <c r="A32" i="7"/>
  <c r="A31" i="7"/>
  <c r="A30" i="7"/>
  <c r="A29" i="7"/>
  <c r="A28" i="7"/>
  <c r="A27" i="7"/>
  <c r="A26" i="7"/>
  <c r="A25" i="7"/>
  <c r="A24" i="7"/>
  <c r="A23" i="7"/>
  <c r="A22" i="7"/>
  <c r="A21" i="7"/>
  <c r="A20" i="7"/>
  <c r="A19" i="7"/>
  <c r="A18" i="7"/>
  <c r="A17" i="7"/>
  <c r="A16" i="7"/>
  <c r="A15" i="7"/>
  <c r="A14" i="7"/>
  <c r="A13" i="7"/>
  <c r="A12" i="7"/>
  <c r="A11" i="7"/>
  <c r="A10" i="7"/>
  <c r="A9" i="7"/>
  <c r="A8" i="7"/>
  <c r="A7" i="7"/>
  <c r="A6" i="7"/>
  <c r="A5" i="7"/>
  <c r="A4" i="7"/>
  <c r="A3" i="7"/>
  <c r="A2" i="7"/>
  <c r="S201" i="7"/>
  <c r="S200" i="7"/>
  <c r="S199" i="7"/>
  <c r="S198" i="7"/>
  <c r="S197" i="7"/>
  <c r="S196" i="7"/>
  <c r="S195" i="7"/>
  <c r="S194" i="7"/>
  <c r="S193" i="7"/>
  <c r="S192" i="7"/>
  <c r="S191" i="7"/>
  <c r="S190" i="7"/>
  <c r="S189" i="7"/>
  <c r="S188" i="7"/>
  <c r="S187" i="7"/>
  <c r="S186" i="7"/>
  <c r="S185" i="7"/>
  <c r="S184" i="7"/>
  <c r="S183" i="7"/>
  <c r="S182" i="7"/>
  <c r="S181" i="7"/>
  <c r="S180" i="7"/>
  <c r="S179" i="7"/>
  <c r="S178" i="7"/>
  <c r="S177" i="7"/>
  <c r="S176" i="7"/>
  <c r="S175" i="7"/>
  <c r="S174" i="7"/>
  <c r="S173" i="7"/>
  <c r="S172" i="7"/>
  <c r="S171" i="7"/>
  <c r="S170" i="7"/>
  <c r="S169" i="7"/>
  <c r="S168" i="7"/>
  <c r="S167" i="7"/>
  <c r="S166" i="7"/>
  <c r="S165" i="7"/>
  <c r="S164" i="7"/>
  <c r="S163" i="7"/>
  <c r="S162" i="7"/>
  <c r="S72" i="7"/>
  <c r="S71" i="7"/>
  <c r="S70" i="7"/>
  <c r="S69" i="7"/>
  <c r="S68" i="7"/>
  <c r="S67" i="7"/>
  <c r="S66" i="7"/>
  <c r="S65" i="7"/>
  <c r="S64" i="7"/>
  <c r="S63" i="7"/>
  <c r="S62" i="7"/>
  <c r="S61" i="7"/>
  <c r="S60" i="7"/>
  <c r="S59" i="7"/>
  <c r="S58" i="7"/>
  <c r="S57" i="7"/>
  <c r="S56" i="7"/>
  <c r="S55" i="7"/>
  <c r="S54" i="7"/>
  <c r="S53" i="7"/>
  <c r="S52" i="7"/>
  <c r="S51" i="7"/>
  <c r="S50" i="7"/>
  <c r="S49" i="7"/>
  <c r="S48" i="7"/>
  <c r="S47" i="7"/>
  <c r="S46" i="7"/>
  <c r="S45" i="7"/>
  <c r="S44" i="7"/>
  <c r="S43" i="7"/>
  <c r="S42" i="7"/>
  <c r="S41" i="7"/>
  <c r="S40" i="7"/>
  <c r="S39" i="7"/>
  <c r="S38" i="7"/>
  <c r="S37" i="7"/>
  <c r="S36" i="7"/>
  <c r="S35" i="7"/>
  <c r="S34" i="7"/>
  <c r="S33" i="7"/>
  <c r="S32" i="7"/>
  <c r="S31" i="7"/>
  <c r="S30" i="7"/>
  <c r="S29" i="7"/>
  <c r="S28" i="7"/>
  <c r="S27" i="7"/>
  <c r="S26" i="7"/>
  <c r="S25" i="7"/>
  <c r="S24" i="7"/>
  <c r="S23" i="7"/>
  <c r="S22" i="7"/>
  <c r="S21" i="7"/>
  <c r="S20" i="7"/>
  <c r="S19" i="7"/>
  <c r="S18" i="7"/>
  <c r="S17" i="7"/>
  <c r="S16" i="7"/>
  <c r="S15" i="7"/>
  <c r="S14" i="7"/>
  <c r="S13" i="7"/>
  <c r="S12" i="7"/>
  <c r="S11" i="7"/>
  <c r="S10" i="7"/>
  <c r="S9" i="7"/>
  <c r="S8" i="7"/>
  <c r="S7" i="7"/>
  <c r="S6" i="7"/>
  <c r="S5" i="7"/>
  <c r="S4" i="7"/>
  <c r="S3" i="7"/>
  <c r="S2" i="7"/>
  <c r="A201" i="5"/>
  <c r="A200" i="5"/>
  <c r="C200" i="6" s="1"/>
  <c r="A199" i="5"/>
  <c r="C199" i="6" s="1"/>
  <c r="A198" i="5"/>
  <c r="A197" i="5"/>
  <c r="C197" i="6" s="1"/>
  <c r="A196" i="5"/>
  <c r="C196" i="6" s="1"/>
  <c r="A195" i="5"/>
  <c r="A194" i="5"/>
  <c r="A193" i="5"/>
  <c r="A192" i="5"/>
  <c r="A191" i="5"/>
  <c r="A190" i="5"/>
  <c r="A189" i="5"/>
  <c r="A188" i="5"/>
  <c r="A187" i="5"/>
  <c r="A186" i="5"/>
  <c r="C186" i="6" s="1"/>
  <c r="A185" i="5"/>
  <c r="A184" i="5"/>
  <c r="C184" i="6" s="1"/>
  <c r="A183" i="5"/>
  <c r="A182" i="5"/>
  <c r="A181" i="5"/>
  <c r="A180" i="5"/>
  <c r="A179" i="5"/>
  <c r="C179" i="6" s="1"/>
  <c r="A178" i="5"/>
  <c r="A177" i="5"/>
  <c r="A176" i="5"/>
  <c r="A175" i="5"/>
  <c r="C175" i="6" s="1"/>
  <c r="A174" i="5"/>
  <c r="C174" i="6" s="1"/>
  <c r="A173" i="5"/>
  <c r="C173" i="6" s="1"/>
  <c r="A172" i="5"/>
  <c r="A171" i="5"/>
  <c r="A170" i="5"/>
  <c r="A169" i="5"/>
  <c r="A168" i="5"/>
  <c r="C168" i="6" s="1"/>
  <c r="A167" i="5"/>
  <c r="A166" i="5"/>
  <c r="A165" i="5"/>
  <c r="A164" i="5"/>
  <c r="A163" i="5"/>
  <c r="A162" i="5"/>
  <c r="C162" i="6" s="1"/>
  <c r="A161" i="5"/>
  <c r="A160" i="5"/>
  <c r="A159" i="5"/>
  <c r="A158" i="5"/>
  <c r="A157" i="5"/>
  <c r="A156" i="5"/>
  <c r="A155" i="5"/>
  <c r="A154" i="5"/>
  <c r="A153" i="5"/>
  <c r="A152" i="5"/>
  <c r="A151" i="5"/>
  <c r="A150" i="5"/>
  <c r="A149" i="5"/>
  <c r="A148" i="5"/>
  <c r="A147" i="5"/>
  <c r="A146" i="5"/>
  <c r="A145" i="5"/>
  <c r="A144" i="5"/>
  <c r="A143" i="5"/>
  <c r="A142" i="5"/>
  <c r="A141" i="5"/>
  <c r="A140" i="5"/>
  <c r="A139" i="5"/>
  <c r="A138" i="5"/>
  <c r="A137" i="5"/>
  <c r="A136" i="5"/>
  <c r="A135" i="5"/>
  <c r="A134" i="5"/>
  <c r="A133" i="5"/>
  <c r="A132" i="5"/>
  <c r="A131" i="5"/>
  <c r="A130" i="5"/>
  <c r="A129" i="5"/>
  <c r="A128" i="5"/>
  <c r="A127" i="5"/>
  <c r="A126" i="5"/>
  <c r="A125" i="5"/>
  <c r="A124" i="5"/>
  <c r="A123" i="5"/>
  <c r="A122" i="5"/>
  <c r="A121" i="5"/>
  <c r="A120" i="5"/>
  <c r="A119" i="5"/>
  <c r="A118" i="5"/>
  <c r="A117" i="5"/>
  <c r="A116" i="5"/>
  <c r="A115" i="5"/>
  <c r="A114" i="5"/>
  <c r="A113" i="5"/>
  <c r="A112" i="5"/>
  <c r="A111" i="5"/>
  <c r="A110" i="5"/>
  <c r="A109" i="5"/>
  <c r="A108" i="5"/>
  <c r="A107" i="5"/>
  <c r="A106" i="5"/>
  <c r="A105" i="5"/>
  <c r="A104" i="5"/>
  <c r="A103" i="5"/>
  <c r="A102" i="5"/>
  <c r="A101" i="5"/>
  <c r="A100" i="5"/>
  <c r="A99" i="5"/>
  <c r="A98" i="5"/>
  <c r="A97" i="5"/>
  <c r="A96" i="5"/>
  <c r="A95" i="5"/>
  <c r="A94" i="5"/>
  <c r="A93" i="5"/>
  <c r="A92" i="5"/>
  <c r="A91" i="5"/>
  <c r="A90" i="5"/>
  <c r="A89" i="5"/>
  <c r="A88" i="5"/>
  <c r="A87" i="5"/>
  <c r="A86" i="5"/>
  <c r="A85" i="5"/>
  <c r="A84" i="5"/>
  <c r="A83" i="5"/>
  <c r="A82" i="5"/>
  <c r="A81" i="5"/>
  <c r="A80" i="5"/>
  <c r="A79" i="5"/>
  <c r="A78" i="5"/>
  <c r="A77" i="5"/>
  <c r="A76" i="5"/>
  <c r="A75" i="5"/>
  <c r="A74" i="5"/>
  <c r="A73" i="5"/>
  <c r="A72" i="5"/>
  <c r="A71" i="5"/>
  <c r="A70" i="5"/>
  <c r="A69" i="5"/>
  <c r="A68" i="5"/>
  <c r="A67" i="5"/>
  <c r="A66" i="5"/>
  <c r="A65" i="5"/>
  <c r="A64" i="5"/>
  <c r="A63" i="5"/>
  <c r="A62" i="5"/>
  <c r="A61" i="5"/>
  <c r="A60" i="5"/>
  <c r="A59" i="5"/>
  <c r="A58"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C12" i="6" s="1"/>
  <c r="A11" i="5"/>
  <c r="A10" i="5"/>
  <c r="A9" i="5"/>
  <c r="A8" i="5"/>
  <c r="A7" i="5"/>
  <c r="A6" i="5"/>
  <c r="A5" i="5"/>
  <c r="A4" i="5"/>
  <c r="A3" i="5"/>
  <c r="A2" i="5"/>
  <c r="C2" i="6" s="1"/>
  <c r="M109" i="5"/>
  <c r="M108" i="5"/>
  <c r="M107" i="5"/>
  <c r="M106" i="5"/>
  <c r="M105" i="5"/>
  <c r="M104" i="5"/>
  <c r="M103" i="5"/>
  <c r="M102" i="5"/>
  <c r="M101" i="5"/>
  <c r="M100" i="5"/>
  <c r="M99" i="5"/>
  <c r="M98" i="5"/>
  <c r="M97" i="5"/>
  <c r="M96" i="5"/>
  <c r="M95" i="5"/>
  <c r="M94" i="5"/>
  <c r="M93" i="5"/>
  <c r="M92" i="5"/>
  <c r="M91" i="5"/>
  <c r="M90" i="5"/>
  <c r="M89" i="5"/>
  <c r="M88" i="5"/>
  <c r="M87" i="5"/>
  <c r="M86" i="5"/>
  <c r="M85" i="5"/>
  <c r="M84" i="5"/>
  <c r="M83" i="5"/>
  <c r="M82" i="5"/>
  <c r="M81" i="5"/>
  <c r="M80" i="5"/>
  <c r="M79" i="5"/>
  <c r="M78" i="5"/>
  <c r="M77" i="5"/>
  <c r="M76" i="5"/>
  <c r="M75" i="5"/>
  <c r="M74" i="5"/>
  <c r="M73" i="5"/>
  <c r="M72" i="5"/>
  <c r="M71" i="5"/>
  <c r="M70" i="5"/>
  <c r="M69" i="5"/>
  <c r="M68" i="5"/>
  <c r="M67" i="5"/>
  <c r="M66" i="5"/>
  <c r="M65" i="5"/>
  <c r="M64" i="5"/>
  <c r="M63" i="5"/>
  <c r="M62" i="5"/>
  <c r="M61" i="5"/>
  <c r="M60" i="5"/>
  <c r="M59" i="5"/>
  <c r="M58" i="5"/>
  <c r="M57" i="5"/>
  <c r="M56" i="5"/>
  <c r="M55" i="5"/>
  <c r="M54" i="5"/>
  <c r="M53" i="5"/>
  <c r="M52" i="5"/>
  <c r="M51" i="5"/>
  <c r="M50" i="5"/>
  <c r="M49" i="5"/>
  <c r="M48" i="5"/>
  <c r="M47" i="5"/>
  <c r="M46" i="5"/>
  <c r="M45" i="5"/>
  <c r="M44" i="5"/>
  <c r="M43" i="5"/>
  <c r="M42" i="5"/>
  <c r="M41" i="5"/>
  <c r="M40" i="5"/>
  <c r="M39" i="5"/>
  <c r="M38" i="5"/>
  <c r="M37" i="5"/>
  <c r="M36" i="5"/>
  <c r="M35" i="5"/>
  <c r="M34" i="5"/>
  <c r="M33" i="5"/>
  <c r="M32" i="5"/>
  <c r="M31" i="5"/>
  <c r="M30" i="5"/>
  <c r="M29" i="5"/>
  <c r="M28" i="5"/>
  <c r="M27" i="5"/>
  <c r="M26" i="5"/>
  <c r="M25" i="5"/>
  <c r="M24" i="5"/>
  <c r="M23" i="5"/>
  <c r="M22" i="5"/>
  <c r="M21" i="5"/>
  <c r="M20" i="5"/>
  <c r="M19" i="5"/>
  <c r="M18" i="5"/>
  <c r="M17" i="5"/>
  <c r="M16" i="5"/>
  <c r="M15" i="5"/>
  <c r="M14" i="5"/>
  <c r="M13" i="5"/>
  <c r="M12" i="5"/>
  <c r="M11" i="5"/>
  <c r="M10" i="5"/>
  <c r="M9" i="5"/>
  <c r="M8" i="5"/>
  <c r="M7" i="5"/>
  <c r="M6" i="5"/>
  <c r="M5" i="5"/>
  <c r="M4" i="5"/>
  <c r="M3" i="5"/>
  <c r="M2" i="5"/>
  <c r="B3" i="5" l="1"/>
  <c r="C3" i="6"/>
  <c r="B4" i="5"/>
  <c r="C4" i="6"/>
  <c r="B5" i="5"/>
  <c r="C5" i="6"/>
  <c r="B6" i="5"/>
  <c r="C6" i="6"/>
  <c r="B7" i="5"/>
  <c r="C7" i="6"/>
  <c r="B8" i="5"/>
  <c r="C8" i="6"/>
  <c r="B9" i="5"/>
  <c r="C9" i="6"/>
  <c r="B10" i="5"/>
  <c r="C10" i="6"/>
  <c r="B11" i="5"/>
  <c r="C11" i="6"/>
  <c r="B13" i="5"/>
  <c r="C13" i="6"/>
  <c r="B14" i="5"/>
  <c r="C14" i="6"/>
  <c r="B15" i="5"/>
  <c r="C15" i="6"/>
  <c r="B16" i="5"/>
  <c r="C16" i="6"/>
  <c r="B17" i="5"/>
  <c r="C17" i="6"/>
  <c r="B18" i="5"/>
  <c r="C18" i="6"/>
  <c r="B19" i="5"/>
  <c r="C19" i="6"/>
  <c r="B20" i="5"/>
  <c r="C20" i="6"/>
  <c r="B21" i="5"/>
  <c r="C21" i="6"/>
  <c r="B22" i="5"/>
  <c r="C22" i="6"/>
  <c r="B23" i="5"/>
  <c r="C23" i="6"/>
  <c r="B24" i="5"/>
  <c r="C24" i="6"/>
  <c r="B25" i="5"/>
  <c r="C25" i="6"/>
  <c r="B26" i="5"/>
  <c r="C26" i="6"/>
  <c r="B27" i="5"/>
  <c r="C27" i="6"/>
  <c r="B28" i="5"/>
  <c r="C28" i="6"/>
  <c r="B29" i="5"/>
  <c r="C29" i="6"/>
  <c r="B30" i="5"/>
  <c r="C30" i="6"/>
  <c r="B31" i="5"/>
  <c r="C31" i="6"/>
  <c r="B32" i="5"/>
  <c r="C32" i="6"/>
  <c r="B33" i="5"/>
  <c r="C33" i="6"/>
  <c r="B34" i="5"/>
  <c r="C34" i="6"/>
  <c r="B35" i="5"/>
  <c r="C35" i="6"/>
  <c r="B36" i="5"/>
  <c r="C36" i="6"/>
  <c r="B37" i="5"/>
  <c r="C37" i="6"/>
  <c r="B38" i="5"/>
  <c r="C38" i="6"/>
  <c r="B39" i="5"/>
  <c r="C39" i="6"/>
  <c r="B40" i="5"/>
  <c r="C40" i="6"/>
  <c r="B41" i="5"/>
  <c r="C41" i="6"/>
  <c r="B42" i="5"/>
  <c r="C42" i="6"/>
  <c r="B43" i="5"/>
  <c r="C43" i="6"/>
  <c r="B44" i="5"/>
  <c r="C44" i="6"/>
  <c r="B45" i="5"/>
  <c r="C45" i="6"/>
  <c r="B46" i="5"/>
  <c r="C46" i="6"/>
  <c r="B47" i="5"/>
  <c r="C47" i="6"/>
  <c r="B48" i="5"/>
  <c r="C48" i="6"/>
  <c r="B49" i="5"/>
  <c r="C49" i="6"/>
  <c r="B50" i="5"/>
  <c r="C50" i="6"/>
  <c r="B51" i="5"/>
  <c r="C51" i="6"/>
  <c r="B52" i="5"/>
  <c r="C52" i="6"/>
  <c r="B53" i="5"/>
  <c r="C53" i="6"/>
  <c r="B54" i="5"/>
  <c r="C54" i="6"/>
  <c r="B55" i="5"/>
  <c r="C55" i="6"/>
  <c r="B56" i="5"/>
  <c r="C56" i="6"/>
  <c r="B57" i="5"/>
  <c r="C57" i="6"/>
  <c r="B58" i="5"/>
  <c r="C58" i="6"/>
  <c r="B59" i="5"/>
  <c r="C59" i="6"/>
  <c r="B60" i="5"/>
  <c r="C60" i="6"/>
  <c r="B61" i="5"/>
  <c r="C61" i="6"/>
  <c r="B62" i="5"/>
  <c r="C62" i="6"/>
  <c r="B63" i="5"/>
  <c r="C63" i="6"/>
  <c r="B64" i="5"/>
  <c r="C64" i="6"/>
  <c r="B65" i="5"/>
  <c r="C65" i="6"/>
  <c r="B66" i="5"/>
  <c r="C66" i="6"/>
  <c r="B67" i="5"/>
  <c r="C67" i="6"/>
  <c r="B68" i="5"/>
  <c r="C68" i="6"/>
  <c r="B69" i="5"/>
  <c r="C69" i="6"/>
  <c r="B70" i="5"/>
  <c r="C70" i="6"/>
  <c r="B71" i="5"/>
  <c r="C71" i="6"/>
  <c r="B72" i="5"/>
  <c r="C72" i="6"/>
  <c r="B73" i="5"/>
  <c r="C73" i="6"/>
  <c r="B74" i="5"/>
  <c r="C74" i="6"/>
  <c r="B75" i="5"/>
  <c r="C75" i="6"/>
  <c r="B76" i="5"/>
  <c r="C76" i="6"/>
  <c r="B77" i="5"/>
  <c r="C77" i="6"/>
  <c r="B78" i="5"/>
  <c r="C78" i="6"/>
  <c r="B79" i="5"/>
  <c r="C79" i="6"/>
  <c r="B80" i="5"/>
  <c r="C80" i="6"/>
  <c r="B81" i="5"/>
  <c r="C81" i="6"/>
  <c r="B82" i="5"/>
  <c r="C82" i="6"/>
  <c r="B83" i="5"/>
  <c r="C83" i="6"/>
  <c r="B84" i="5"/>
  <c r="C84" i="6"/>
  <c r="B85" i="5"/>
  <c r="C85" i="6"/>
  <c r="B86" i="5"/>
  <c r="C86" i="6"/>
  <c r="B87" i="5"/>
  <c r="C87" i="6"/>
  <c r="B88" i="5"/>
  <c r="C88" i="6"/>
  <c r="B89" i="5"/>
  <c r="C89" i="6"/>
  <c r="B90" i="5"/>
  <c r="C90" i="6"/>
  <c r="B91" i="5"/>
  <c r="C91" i="6"/>
  <c r="B92" i="5"/>
  <c r="C92" i="6"/>
  <c r="B93" i="5"/>
  <c r="C93" i="6"/>
  <c r="B94" i="5"/>
  <c r="C94" i="6"/>
  <c r="B95" i="5"/>
  <c r="C95" i="6"/>
  <c r="B96" i="5"/>
  <c r="C96" i="6"/>
  <c r="B97" i="5"/>
  <c r="C97" i="6"/>
  <c r="B98" i="5"/>
  <c r="C98" i="6"/>
  <c r="B99" i="5"/>
  <c r="C99" i="6"/>
  <c r="B100" i="5"/>
  <c r="C100" i="6"/>
  <c r="B101" i="5"/>
  <c r="C101" i="6"/>
  <c r="B102" i="5"/>
  <c r="C102" i="6"/>
  <c r="B103" i="5"/>
  <c r="C103" i="6"/>
  <c r="B104" i="5"/>
  <c r="C104" i="6"/>
  <c r="B105" i="5"/>
  <c r="C105" i="6"/>
  <c r="B106" i="5"/>
  <c r="C106" i="6"/>
  <c r="B107" i="5"/>
  <c r="C107" i="6"/>
  <c r="B108" i="5"/>
  <c r="C108" i="6"/>
  <c r="B109" i="5"/>
  <c r="C109" i="6"/>
  <c r="B110" i="5"/>
  <c r="C110" i="6"/>
  <c r="B111" i="5"/>
  <c r="C111" i="6"/>
  <c r="B112" i="5"/>
  <c r="C112" i="6"/>
  <c r="B113" i="5"/>
  <c r="C113" i="6"/>
  <c r="B114" i="5"/>
  <c r="C114" i="6"/>
  <c r="B115" i="5"/>
  <c r="C115" i="6"/>
  <c r="B116" i="5"/>
  <c r="C116" i="6"/>
  <c r="B117" i="5"/>
  <c r="C117" i="6"/>
  <c r="B118" i="5"/>
  <c r="C118" i="6"/>
  <c r="B119" i="5"/>
  <c r="C119" i="6"/>
  <c r="B120" i="5"/>
  <c r="C120" i="6"/>
  <c r="B121" i="5"/>
  <c r="C121" i="6"/>
  <c r="B122" i="5"/>
  <c r="C122" i="6"/>
  <c r="B123" i="5"/>
  <c r="C123" i="6"/>
  <c r="B124" i="5"/>
  <c r="C124" i="6"/>
  <c r="B125" i="5"/>
  <c r="C125" i="6"/>
  <c r="B126" i="5"/>
  <c r="C126" i="6"/>
  <c r="B127" i="5"/>
  <c r="C127" i="6"/>
  <c r="B128" i="5"/>
  <c r="C128" i="6"/>
  <c r="B129" i="5"/>
  <c r="C129" i="6"/>
  <c r="B130" i="5"/>
  <c r="C130" i="6"/>
  <c r="B131" i="5"/>
  <c r="C131" i="6"/>
  <c r="B132" i="5"/>
  <c r="C132" i="6"/>
  <c r="B133" i="5"/>
  <c r="C133" i="6"/>
  <c r="B134" i="5"/>
  <c r="C134" i="6"/>
  <c r="B135" i="5"/>
  <c r="C135" i="6"/>
  <c r="B136" i="5"/>
  <c r="C136" i="6"/>
  <c r="B137" i="5"/>
  <c r="C137" i="6"/>
  <c r="B138" i="5"/>
  <c r="C138" i="6"/>
  <c r="B139" i="5"/>
  <c r="C139" i="6"/>
  <c r="B140" i="5"/>
  <c r="C140" i="6"/>
  <c r="B141" i="5"/>
  <c r="C141" i="6"/>
  <c r="B142" i="5"/>
  <c r="C142" i="6"/>
  <c r="B143" i="5"/>
  <c r="C143" i="6"/>
  <c r="B144" i="5"/>
  <c r="C144" i="6"/>
  <c r="B145" i="5"/>
  <c r="C145" i="6"/>
  <c r="B146" i="5"/>
  <c r="C146" i="6"/>
  <c r="B147" i="5"/>
  <c r="C147" i="6"/>
  <c r="B148" i="5"/>
  <c r="C148" i="6"/>
  <c r="B149" i="5"/>
  <c r="C149" i="6"/>
  <c r="B150" i="5"/>
  <c r="C150" i="6"/>
  <c r="B151" i="5"/>
  <c r="C151" i="6"/>
  <c r="B152" i="5"/>
  <c r="C152" i="6"/>
  <c r="B153" i="5"/>
  <c r="C153" i="6"/>
  <c r="B154" i="5"/>
  <c r="C154" i="6"/>
  <c r="B155" i="5"/>
  <c r="C155" i="6"/>
  <c r="B156" i="5"/>
  <c r="C156" i="6"/>
  <c r="B157" i="5"/>
  <c r="C157" i="6"/>
  <c r="B158" i="5"/>
  <c r="C158" i="6"/>
  <c r="B159" i="5"/>
  <c r="C159" i="6"/>
  <c r="B160" i="5"/>
  <c r="C160" i="6"/>
  <c r="B161" i="5"/>
  <c r="C161" i="6"/>
  <c r="B163" i="5"/>
  <c r="C163" i="6"/>
  <c r="B164" i="5"/>
  <c r="C164" i="6"/>
  <c r="B165" i="5"/>
  <c r="C165" i="6"/>
  <c r="B166" i="5"/>
  <c r="C166" i="6"/>
  <c r="B167" i="5"/>
  <c r="C167" i="6"/>
  <c r="B169" i="5"/>
  <c r="C169" i="6"/>
  <c r="B170" i="5"/>
  <c r="C170" i="6"/>
  <c r="B171" i="5"/>
  <c r="C171" i="6"/>
  <c r="B172" i="5"/>
  <c r="C172" i="6"/>
  <c r="B176" i="5"/>
  <c r="C176" i="6"/>
  <c r="B177" i="5"/>
  <c r="C177" i="6"/>
  <c r="B178" i="5"/>
  <c r="C178" i="6"/>
  <c r="B180" i="5"/>
  <c r="C180" i="6"/>
  <c r="B181" i="5"/>
  <c r="C181" i="6"/>
  <c r="B182" i="5"/>
  <c r="C182" i="6"/>
  <c r="B183" i="5"/>
  <c r="C183" i="6"/>
  <c r="B185" i="5"/>
  <c r="C185" i="6"/>
  <c r="B187" i="5"/>
  <c r="C187" i="6"/>
  <c r="B188" i="5"/>
  <c r="C188" i="6"/>
  <c r="B189" i="5"/>
  <c r="C189" i="6"/>
  <c r="B190" i="5"/>
  <c r="C190" i="6"/>
  <c r="B191" i="5"/>
  <c r="C191" i="6"/>
  <c r="B192" i="5"/>
  <c r="C192" i="6"/>
  <c r="B193" i="5"/>
  <c r="C193" i="6"/>
  <c r="B194" i="5"/>
  <c r="C194" i="6"/>
  <c r="B195" i="5"/>
  <c r="C195" i="6"/>
  <c r="B198" i="5"/>
  <c r="C198" i="6"/>
  <c r="B201" i="5"/>
  <c r="C201" i="6"/>
  <c r="B12" i="5"/>
  <c r="B2" i="5"/>
  <c r="H63" i="7"/>
  <c r="J79" i="7"/>
  <c r="W15" i="3"/>
  <c r="I7" i="7"/>
  <c r="K151" i="7"/>
  <c r="T2" i="7"/>
  <c r="W48" i="3"/>
  <c r="W32" i="3"/>
  <c r="W64" i="3"/>
  <c r="W17" i="3"/>
  <c r="W33" i="3"/>
  <c r="W49" i="3"/>
  <c r="W16" i="3"/>
  <c r="W18" i="3"/>
  <c r="I117" i="7"/>
  <c r="K133" i="7"/>
  <c r="I103" i="7"/>
  <c r="K135" i="7"/>
  <c r="H191" i="7"/>
  <c r="W63" i="3"/>
  <c r="W79" i="3"/>
  <c r="I135" i="7"/>
  <c r="W47" i="3"/>
  <c r="H109" i="7"/>
  <c r="J125" i="7"/>
  <c r="W3" i="3"/>
  <c r="L173" i="7"/>
  <c r="W31" i="3"/>
  <c r="H95" i="7"/>
  <c r="J111" i="7"/>
  <c r="J127" i="7"/>
  <c r="B49" i="7"/>
  <c r="L49" i="7"/>
  <c r="J49" i="7"/>
  <c r="H49" i="7"/>
  <c r="K49" i="7"/>
  <c r="I49" i="7"/>
  <c r="B65" i="7"/>
  <c r="L65" i="7"/>
  <c r="J65" i="7"/>
  <c r="H65" i="7"/>
  <c r="K65" i="7"/>
  <c r="I65" i="7"/>
  <c r="B177" i="7"/>
  <c r="L177" i="7"/>
  <c r="J177" i="7"/>
  <c r="H177" i="7"/>
  <c r="K177" i="7"/>
  <c r="I177" i="7"/>
  <c r="B193" i="7"/>
  <c r="L193" i="7"/>
  <c r="J193" i="7"/>
  <c r="H193" i="7"/>
  <c r="K193" i="7"/>
  <c r="I193" i="7"/>
  <c r="B17" i="7"/>
  <c r="L17" i="7"/>
  <c r="J17" i="7"/>
  <c r="H17" i="7"/>
  <c r="K17" i="7"/>
  <c r="I17" i="7"/>
  <c r="B129" i="7"/>
  <c r="L129" i="7"/>
  <c r="J129" i="7"/>
  <c r="H129" i="7"/>
  <c r="K129" i="7"/>
  <c r="I129" i="7"/>
  <c r="W65" i="3"/>
  <c r="W81" i="3"/>
  <c r="W97" i="3"/>
  <c r="B145" i="7"/>
  <c r="L145" i="7"/>
  <c r="J145" i="7"/>
  <c r="H145" i="7"/>
  <c r="K145" i="7"/>
  <c r="I145" i="7"/>
  <c r="W34" i="3"/>
  <c r="W50" i="3"/>
  <c r="W66" i="3"/>
  <c r="W82" i="3"/>
  <c r="B161" i="7"/>
  <c r="L161" i="7"/>
  <c r="J161" i="7"/>
  <c r="H161" i="7"/>
  <c r="K161" i="7"/>
  <c r="I161" i="7"/>
  <c r="W19" i="3"/>
  <c r="W83" i="3"/>
  <c r="W99" i="3"/>
  <c r="B97" i="7"/>
  <c r="L97" i="7"/>
  <c r="J97" i="7"/>
  <c r="H97" i="7"/>
  <c r="K97" i="7"/>
  <c r="I97" i="7"/>
  <c r="W35" i="3"/>
  <c r="W51" i="3"/>
  <c r="B113" i="7"/>
  <c r="L113" i="7"/>
  <c r="J113" i="7"/>
  <c r="H113" i="7"/>
  <c r="K113" i="7"/>
  <c r="I113" i="7"/>
  <c r="W67" i="3"/>
  <c r="B33" i="7"/>
  <c r="L33" i="7"/>
  <c r="J33" i="7"/>
  <c r="H33" i="7"/>
  <c r="K33" i="7"/>
  <c r="I33" i="7"/>
  <c r="B81" i="7"/>
  <c r="L81" i="7"/>
  <c r="J81" i="7"/>
  <c r="H81" i="7"/>
  <c r="K81" i="7"/>
  <c r="I81" i="7"/>
  <c r="W6" i="3"/>
  <c r="W22" i="3"/>
  <c r="W38" i="3"/>
  <c r="W54" i="3"/>
  <c r="W70" i="3"/>
  <c r="B200" i="5"/>
  <c r="B168" i="5"/>
  <c r="B184" i="5"/>
  <c r="W20" i="3"/>
  <c r="W36" i="3"/>
  <c r="W68" i="3"/>
  <c r="W84" i="3"/>
  <c r="B2" i="7"/>
  <c r="L2" i="7"/>
  <c r="J2" i="7"/>
  <c r="H2" i="7"/>
  <c r="K2" i="7"/>
  <c r="I2" i="7"/>
  <c r="B18" i="7"/>
  <c r="L18" i="7"/>
  <c r="J18" i="7"/>
  <c r="H18" i="7"/>
  <c r="K18" i="7"/>
  <c r="I18" i="7"/>
  <c r="B34" i="7"/>
  <c r="L34" i="7"/>
  <c r="J34" i="7"/>
  <c r="H34" i="7"/>
  <c r="K34" i="7"/>
  <c r="I34" i="7"/>
  <c r="B50" i="7"/>
  <c r="L50" i="7"/>
  <c r="J50" i="7"/>
  <c r="H50" i="7"/>
  <c r="K50" i="7"/>
  <c r="I50" i="7"/>
  <c r="B66" i="7"/>
  <c r="L66" i="7"/>
  <c r="J66" i="7"/>
  <c r="H66" i="7"/>
  <c r="K66" i="7"/>
  <c r="I66" i="7"/>
  <c r="B82" i="7"/>
  <c r="L82" i="7"/>
  <c r="J82" i="7"/>
  <c r="H82" i="7"/>
  <c r="K82" i="7"/>
  <c r="I82" i="7"/>
  <c r="B98" i="7"/>
  <c r="L98" i="7"/>
  <c r="J98" i="7"/>
  <c r="H98" i="7"/>
  <c r="K98" i="7"/>
  <c r="I98" i="7"/>
  <c r="B114" i="7"/>
  <c r="L114" i="7"/>
  <c r="J114" i="7"/>
  <c r="H114" i="7"/>
  <c r="K114" i="7"/>
  <c r="I114" i="7"/>
  <c r="B130" i="7"/>
  <c r="L130" i="7"/>
  <c r="J130" i="7"/>
  <c r="H130" i="7"/>
  <c r="K130" i="7"/>
  <c r="I130" i="7"/>
  <c r="B146" i="7"/>
  <c r="L146" i="7"/>
  <c r="J146" i="7"/>
  <c r="H146" i="7"/>
  <c r="K146" i="7"/>
  <c r="I146" i="7"/>
  <c r="B162" i="7"/>
  <c r="L162" i="7"/>
  <c r="J162" i="7"/>
  <c r="H162" i="7"/>
  <c r="K162" i="7"/>
  <c r="I162" i="7"/>
  <c r="B178" i="7"/>
  <c r="L178" i="7"/>
  <c r="J178" i="7"/>
  <c r="H178" i="7"/>
  <c r="K178" i="7"/>
  <c r="I178" i="7"/>
  <c r="B194" i="7"/>
  <c r="L194" i="7"/>
  <c r="J194" i="7"/>
  <c r="H194" i="7"/>
  <c r="K194" i="7"/>
  <c r="I194" i="7"/>
  <c r="H189" i="7"/>
  <c r="H61" i="7"/>
  <c r="I133" i="7"/>
  <c r="I5" i="7"/>
  <c r="J77" i="7"/>
  <c r="K149" i="7"/>
  <c r="L157" i="7"/>
  <c r="W4" i="3"/>
  <c r="W52" i="3"/>
  <c r="W100" i="3"/>
  <c r="W5" i="3"/>
  <c r="W21" i="3"/>
  <c r="W37" i="3"/>
  <c r="W53" i="3"/>
  <c r="W69" i="3"/>
  <c r="W85" i="3"/>
  <c r="W101" i="3"/>
  <c r="B186" i="5"/>
  <c r="B3" i="7"/>
  <c r="L3" i="7"/>
  <c r="J3" i="7"/>
  <c r="H3" i="7"/>
  <c r="K3" i="7"/>
  <c r="I3" i="7"/>
  <c r="B19" i="7"/>
  <c r="L19" i="7"/>
  <c r="J19" i="7"/>
  <c r="H19" i="7"/>
  <c r="K19" i="7"/>
  <c r="I19" i="7"/>
  <c r="B35" i="7"/>
  <c r="L35" i="7"/>
  <c r="J35" i="7"/>
  <c r="H35" i="7"/>
  <c r="K35" i="7"/>
  <c r="I35" i="7"/>
  <c r="B51" i="7"/>
  <c r="L51" i="7"/>
  <c r="J51" i="7"/>
  <c r="H51" i="7"/>
  <c r="K51" i="7"/>
  <c r="I51" i="7"/>
  <c r="B67" i="7"/>
  <c r="L67" i="7"/>
  <c r="J67" i="7"/>
  <c r="H67" i="7"/>
  <c r="K67" i="7"/>
  <c r="I67" i="7"/>
  <c r="B83" i="7"/>
  <c r="L83" i="7"/>
  <c r="J83" i="7"/>
  <c r="H83" i="7"/>
  <c r="K83" i="7"/>
  <c r="I83" i="7"/>
  <c r="B99" i="7"/>
  <c r="L99" i="7"/>
  <c r="J99" i="7"/>
  <c r="H99" i="7"/>
  <c r="K99" i="7"/>
  <c r="I99" i="7"/>
  <c r="B115" i="7"/>
  <c r="L115" i="7"/>
  <c r="J115" i="7"/>
  <c r="H115" i="7"/>
  <c r="K115" i="7"/>
  <c r="I115" i="7"/>
  <c r="B131" i="7"/>
  <c r="L131" i="7"/>
  <c r="J131" i="7"/>
  <c r="H131" i="7"/>
  <c r="K131" i="7"/>
  <c r="I131" i="7"/>
  <c r="B147" i="7"/>
  <c r="L147" i="7"/>
  <c r="J147" i="7"/>
  <c r="H147" i="7"/>
  <c r="K147" i="7"/>
  <c r="I147" i="7"/>
  <c r="B163" i="7"/>
  <c r="L163" i="7"/>
  <c r="J163" i="7"/>
  <c r="H163" i="7"/>
  <c r="K163" i="7"/>
  <c r="I163" i="7"/>
  <c r="B179" i="7"/>
  <c r="L179" i="7"/>
  <c r="J179" i="7"/>
  <c r="H179" i="7"/>
  <c r="K179" i="7"/>
  <c r="I179" i="7"/>
  <c r="B195" i="7"/>
  <c r="L195" i="7"/>
  <c r="J195" i="7"/>
  <c r="H195" i="7"/>
  <c r="K195" i="7"/>
  <c r="I195" i="7"/>
  <c r="H175" i="7"/>
  <c r="H47" i="7"/>
  <c r="I119" i="7"/>
  <c r="J191" i="7"/>
  <c r="J63" i="7"/>
  <c r="L141" i="7"/>
  <c r="W86" i="3"/>
  <c r="W102" i="3"/>
  <c r="B4" i="7"/>
  <c r="L4" i="7"/>
  <c r="J4" i="7"/>
  <c r="H4" i="7"/>
  <c r="K4" i="7"/>
  <c r="I4" i="7"/>
  <c r="B20" i="7"/>
  <c r="L20" i="7"/>
  <c r="J20" i="7"/>
  <c r="H20" i="7"/>
  <c r="K20" i="7"/>
  <c r="I20" i="7"/>
  <c r="B36" i="7"/>
  <c r="L36" i="7"/>
  <c r="J36" i="7"/>
  <c r="H36" i="7"/>
  <c r="K36" i="7"/>
  <c r="I36" i="7"/>
  <c r="B52" i="7"/>
  <c r="L52" i="7"/>
  <c r="J52" i="7"/>
  <c r="H52" i="7"/>
  <c r="K52" i="7"/>
  <c r="I52" i="7"/>
  <c r="B68" i="7"/>
  <c r="L68" i="7"/>
  <c r="J68" i="7"/>
  <c r="H68" i="7"/>
  <c r="K68" i="7"/>
  <c r="I68" i="7"/>
  <c r="B84" i="7"/>
  <c r="L84" i="7"/>
  <c r="J84" i="7"/>
  <c r="H84" i="7"/>
  <c r="K84" i="7"/>
  <c r="I84" i="7"/>
  <c r="B100" i="7"/>
  <c r="L100" i="7"/>
  <c r="J100" i="7"/>
  <c r="H100" i="7"/>
  <c r="K100" i="7"/>
  <c r="I100" i="7"/>
  <c r="B116" i="7"/>
  <c r="L116" i="7"/>
  <c r="J116" i="7"/>
  <c r="H116" i="7"/>
  <c r="K116" i="7"/>
  <c r="I116" i="7"/>
  <c r="B132" i="7"/>
  <c r="L132" i="7"/>
  <c r="J132" i="7"/>
  <c r="H132" i="7"/>
  <c r="K132" i="7"/>
  <c r="I132" i="7"/>
  <c r="B148" i="7"/>
  <c r="L148" i="7"/>
  <c r="J148" i="7"/>
  <c r="H148" i="7"/>
  <c r="K148" i="7"/>
  <c r="I148" i="7"/>
  <c r="B164" i="7"/>
  <c r="L164" i="7"/>
  <c r="J164" i="7"/>
  <c r="H164" i="7"/>
  <c r="K164" i="7"/>
  <c r="I164" i="7"/>
  <c r="B180" i="7"/>
  <c r="L180" i="7"/>
  <c r="J180" i="7"/>
  <c r="H180" i="7"/>
  <c r="K180" i="7"/>
  <c r="I180" i="7"/>
  <c r="B196" i="7"/>
  <c r="L196" i="7"/>
  <c r="J196" i="7"/>
  <c r="H196" i="7"/>
  <c r="K196" i="7"/>
  <c r="I196" i="7"/>
  <c r="H173" i="7"/>
  <c r="H45" i="7"/>
  <c r="J189" i="7"/>
  <c r="J61" i="7"/>
  <c r="L125" i="7"/>
  <c r="W103" i="3"/>
  <c r="B5" i="7"/>
  <c r="L5" i="7"/>
  <c r="J5" i="7"/>
  <c r="H5" i="7"/>
  <c r="B21" i="7"/>
  <c r="L21" i="7"/>
  <c r="J21" i="7"/>
  <c r="H21" i="7"/>
  <c r="B37" i="7"/>
  <c r="L37" i="7"/>
  <c r="J37" i="7"/>
  <c r="H37" i="7"/>
  <c r="B53" i="7"/>
  <c r="L53" i="7"/>
  <c r="J53" i="7"/>
  <c r="H53" i="7"/>
  <c r="B69" i="7"/>
  <c r="L69" i="7"/>
  <c r="J69" i="7"/>
  <c r="H69" i="7"/>
  <c r="B85" i="7"/>
  <c r="L85" i="7"/>
  <c r="J85" i="7"/>
  <c r="H85" i="7"/>
  <c r="B101" i="7"/>
  <c r="L101" i="7"/>
  <c r="J101" i="7"/>
  <c r="H101" i="7"/>
  <c r="B117" i="7"/>
  <c r="L117" i="7"/>
  <c r="J117" i="7"/>
  <c r="H117" i="7"/>
  <c r="B133" i="7"/>
  <c r="L133" i="7"/>
  <c r="J133" i="7"/>
  <c r="H133" i="7"/>
  <c r="B149" i="7"/>
  <c r="L149" i="7"/>
  <c r="J149" i="7"/>
  <c r="H149" i="7"/>
  <c r="B165" i="7"/>
  <c r="L165" i="7"/>
  <c r="J165" i="7"/>
  <c r="H165" i="7"/>
  <c r="B181" i="7"/>
  <c r="L181" i="7"/>
  <c r="J181" i="7"/>
  <c r="H181" i="7"/>
  <c r="B197" i="7"/>
  <c r="L197" i="7"/>
  <c r="J197" i="7"/>
  <c r="H197" i="7"/>
  <c r="H159" i="7"/>
  <c r="H31" i="7"/>
  <c r="J175" i="7"/>
  <c r="J47" i="7"/>
  <c r="K119" i="7"/>
  <c r="L109" i="7"/>
  <c r="W23" i="3"/>
  <c r="W40" i="3"/>
  <c r="W104" i="3"/>
  <c r="B173" i="5"/>
  <c r="B6" i="7"/>
  <c r="K6" i="7"/>
  <c r="I6" i="7"/>
  <c r="L6" i="7"/>
  <c r="J6" i="7"/>
  <c r="H6" i="7"/>
  <c r="B22" i="7"/>
  <c r="K22" i="7"/>
  <c r="I22" i="7"/>
  <c r="L22" i="7"/>
  <c r="J22" i="7"/>
  <c r="H22" i="7"/>
  <c r="B38" i="7"/>
  <c r="K38" i="7"/>
  <c r="I38" i="7"/>
  <c r="L38" i="7"/>
  <c r="J38" i="7"/>
  <c r="H38" i="7"/>
  <c r="B54" i="7"/>
  <c r="K54" i="7"/>
  <c r="I54" i="7"/>
  <c r="L54" i="7"/>
  <c r="J54" i="7"/>
  <c r="H54" i="7"/>
  <c r="B70" i="7"/>
  <c r="K70" i="7"/>
  <c r="I70" i="7"/>
  <c r="L70" i="7"/>
  <c r="J70" i="7"/>
  <c r="H70" i="7"/>
  <c r="B86" i="7"/>
  <c r="K86" i="7"/>
  <c r="I86" i="7"/>
  <c r="L86" i="7"/>
  <c r="J86" i="7"/>
  <c r="H86" i="7"/>
  <c r="B102" i="7"/>
  <c r="K102" i="7"/>
  <c r="I102" i="7"/>
  <c r="L102" i="7"/>
  <c r="J102" i="7"/>
  <c r="H102" i="7"/>
  <c r="B118" i="7"/>
  <c r="K118" i="7"/>
  <c r="I118" i="7"/>
  <c r="L118" i="7"/>
  <c r="J118" i="7"/>
  <c r="H118" i="7"/>
  <c r="B134" i="7"/>
  <c r="K134" i="7"/>
  <c r="I134" i="7"/>
  <c r="L134" i="7"/>
  <c r="J134" i="7"/>
  <c r="H134" i="7"/>
  <c r="B150" i="7"/>
  <c r="K150" i="7"/>
  <c r="I150" i="7"/>
  <c r="L150" i="7"/>
  <c r="J150" i="7"/>
  <c r="H150" i="7"/>
  <c r="B166" i="7"/>
  <c r="K166" i="7"/>
  <c r="I166" i="7"/>
  <c r="L166" i="7"/>
  <c r="J166" i="7"/>
  <c r="H166" i="7"/>
  <c r="B182" i="7"/>
  <c r="K182" i="7"/>
  <c r="I182" i="7"/>
  <c r="L182" i="7"/>
  <c r="J182" i="7"/>
  <c r="H182" i="7"/>
  <c r="B198" i="7"/>
  <c r="K198" i="7"/>
  <c r="I198" i="7"/>
  <c r="L198" i="7"/>
  <c r="J198" i="7"/>
  <c r="H198" i="7"/>
  <c r="H157" i="7"/>
  <c r="H29" i="7"/>
  <c r="I101" i="7"/>
  <c r="J173" i="7"/>
  <c r="J45" i="7"/>
  <c r="K117" i="7"/>
  <c r="L93" i="7"/>
  <c r="W39" i="3"/>
  <c r="W25" i="3"/>
  <c r="W57" i="3"/>
  <c r="W105" i="3"/>
  <c r="B174" i="5"/>
  <c r="B7" i="7"/>
  <c r="K7" i="7"/>
  <c r="L7" i="7"/>
  <c r="J7" i="7"/>
  <c r="H7" i="7"/>
  <c r="B23" i="7"/>
  <c r="K23" i="7"/>
  <c r="L23" i="7"/>
  <c r="J23" i="7"/>
  <c r="H23" i="7"/>
  <c r="B39" i="7"/>
  <c r="K39" i="7"/>
  <c r="L39" i="7"/>
  <c r="J39" i="7"/>
  <c r="H39" i="7"/>
  <c r="B55" i="7"/>
  <c r="K55" i="7"/>
  <c r="L55" i="7"/>
  <c r="J55" i="7"/>
  <c r="H55" i="7"/>
  <c r="B71" i="7"/>
  <c r="K71" i="7"/>
  <c r="L71" i="7"/>
  <c r="J71" i="7"/>
  <c r="H71" i="7"/>
  <c r="B87" i="7"/>
  <c r="L87" i="7"/>
  <c r="J87" i="7"/>
  <c r="H87" i="7"/>
  <c r="B103" i="7"/>
  <c r="L103" i="7"/>
  <c r="J103" i="7"/>
  <c r="H103" i="7"/>
  <c r="B119" i="7"/>
  <c r="L119" i="7"/>
  <c r="J119" i="7"/>
  <c r="H119" i="7"/>
  <c r="B135" i="7"/>
  <c r="L135" i="7"/>
  <c r="J135" i="7"/>
  <c r="H135" i="7"/>
  <c r="B151" i="7"/>
  <c r="L151" i="7"/>
  <c r="J151" i="7"/>
  <c r="H151" i="7"/>
  <c r="B167" i="7"/>
  <c r="L167" i="7"/>
  <c r="J167" i="7"/>
  <c r="H167" i="7"/>
  <c r="B183" i="7"/>
  <c r="L183" i="7"/>
  <c r="J183" i="7"/>
  <c r="H183" i="7"/>
  <c r="B199" i="7"/>
  <c r="L199" i="7"/>
  <c r="J199" i="7"/>
  <c r="H199" i="7"/>
  <c r="H143" i="7"/>
  <c r="H15" i="7"/>
  <c r="I87" i="7"/>
  <c r="J159" i="7"/>
  <c r="J31" i="7"/>
  <c r="K103" i="7"/>
  <c r="L77" i="7"/>
  <c r="W7" i="3"/>
  <c r="W87" i="3"/>
  <c r="W24" i="3"/>
  <c r="W72" i="3"/>
  <c r="W41" i="3"/>
  <c r="W73" i="3"/>
  <c r="W89" i="3"/>
  <c r="W10" i="3"/>
  <c r="W26" i="3"/>
  <c r="W42" i="3"/>
  <c r="W58" i="3"/>
  <c r="W74" i="3"/>
  <c r="W90" i="3"/>
  <c r="W106" i="3"/>
  <c r="B175" i="5"/>
  <c r="B8" i="7"/>
  <c r="K8" i="7"/>
  <c r="I8" i="7"/>
  <c r="L8" i="7"/>
  <c r="J8" i="7"/>
  <c r="H8" i="7"/>
  <c r="B24" i="7"/>
  <c r="K24" i="7"/>
  <c r="I24" i="7"/>
  <c r="L24" i="7"/>
  <c r="J24" i="7"/>
  <c r="H24" i="7"/>
  <c r="B40" i="7"/>
  <c r="K40" i="7"/>
  <c r="I40" i="7"/>
  <c r="L40" i="7"/>
  <c r="J40" i="7"/>
  <c r="H40" i="7"/>
  <c r="B56" i="7"/>
  <c r="K56" i="7"/>
  <c r="I56" i="7"/>
  <c r="L56" i="7"/>
  <c r="J56" i="7"/>
  <c r="H56" i="7"/>
  <c r="B72" i="7"/>
  <c r="K72" i="7"/>
  <c r="I72" i="7"/>
  <c r="L72" i="7"/>
  <c r="J72" i="7"/>
  <c r="H72" i="7"/>
  <c r="B88" i="7"/>
  <c r="K88" i="7"/>
  <c r="I88" i="7"/>
  <c r="L88" i="7"/>
  <c r="J88" i="7"/>
  <c r="H88" i="7"/>
  <c r="B104" i="7"/>
  <c r="K104" i="7"/>
  <c r="I104" i="7"/>
  <c r="L104" i="7"/>
  <c r="J104" i="7"/>
  <c r="H104" i="7"/>
  <c r="B120" i="7"/>
  <c r="K120" i="7"/>
  <c r="I120" i="7"/>
  <c r="L120" i="7"/>
  <c r="J120" i="7"/>
  <c r="H120" i="7"/>
  <c r="B136" i="7"/>
  <c r="K136" i="7"/>
  <c r="I136" i="7"/>
  <c r="L136" i="7"/>
  <c r="J136" i="7"/>
  <c r="H136" i="7"/>
  <c r="B152" i="7"/>
  <c r="K152" i="7"/>
  <c r="I152" i="7"/>
  <c r="L152" i="7"/>
  <c r="J152" i="7"/>
  <c r="H152" i="7"/>
  <c r="B168" i="7"/>
  <c r="K168" i="7"/>
  <c r="I168" i="7"/>
  <c r="L168" i="7"/>
  <c r="J168" i="7"/>
  <c r="H168" i="7"/>
  <c r="B184" i="7"/>
  <c r="K184" i="7"/>
  <c r="I184" i="7"/>
  <c r="L184" i="7"/>
  <c r="J184" i="7"/>
  <c r="H184" i="7"/>
  <c r="B200" i="7"/>
  <c r="K200" i="7"/>
  <c r="I200" i="7"/>
  <c r="L200" i="7"/>
  <c r="J200" i="7"/>
  <c r="H200" i="7"/>
  <c r="H141" i="7"/>
  <c r="H13" i="7"/>
  <c r="I85" i="7"/>
  <c r="J157" i="7"/>
  <c r="J29" i="7"/>
  <c r="K101" i="7"/>
  <c r="L61" i="7"/>
  <c r="W8" i="3"/>
  <c r="W88" i="3"/>
  <c r="W11" i="3"/>
  <c r="W43" i="3"/>
  <c r="W75" i="3"/>
  <c r="W91" i="3"/>
  <c r="W107" i="3"/>
  <c r="B9" i="7"/>
  <c r="K9" i="7"/>
  <c r="I9" i="7"/>
  <c r="L9" i="7"/>
  <c r="J9" i="7"/>
  <c r="H9" i="7"/>
  <c r="B25" i="7"/>
  <c r="K25" i="7"/>
  <c r="I25" i="7"/>
  <c r="L25" i="7"/>
  <c r="J25" i="7"/>
  <c r="H25" i="7"/>
  <c r="B41" i="7"/>
  <c r="K41" i="7"/>
  <c r="I41" i="7"/>
  <c r="L41" i="7"/>
  <c r="J41" i="7"/>
  <c r="H41" i="7"/>
  <c r="B57" i="7"/>
  <c r="K57" i="7"/>
  <c r="I57" i="7"/>
  <c r="L57" i="7"/>
  <c r="J57" i="7"/>
  <c r="H57" i="7"/>
  <c r="B73" i="7"/>
  <c r="K73" i="7"/>
  <c r="I73" i="7"/>
  <c r="L73" i="7"/>
  <c r="J73" i="7"/>
  <c r="H73" i="7"/>
  <c r="B89" i="7"/>
  <c r="K89" i="7"/>
  <c r="I89" i="7"/>
  <c r="L89" i="7"/>
  <c r="J89" i="7"/>
  <c r="H89" i="7"/>
  <c r="B105" i="7"/>
  <c r="K105" i="7"/>
  <c r="I105" i="7"/>
  <c r="L105" i="7"/>
  <c r="J105" i="7"/>
  <c r="H105" i="7"/>
  <c r="B121" i="7"/>
  <c r="K121" i="7"/>
  <c r="I121" i="7"/>
  <c r="L121" i="7"/>
  <c r="J121" i="7"/>
  <c r="H121" i="7"/>
  <c r="B137" i="7"/>
  <c r="K137" i="7"/>
  <c r="I137" i="7"/>
  <c r="L137" i="7"/>
  <c r="J137" i="7"/>
  <c r="H137" i="7"/>
  <c r="B153" i="7"/>
  <c r="K153" i="7"/>
  <c r="I153" i="7"/>
  <c r="L153" i="7"/>
  <c r="J153" i="7"/>
  <c r="H153" i="7"/>
  <c r="B169" i="7"/>
  <c r="K169" i="7"/>
  <c r="I169" i="7"/>
  <c r="L169" i="7"/>
  <c r="J169" i="7"/>
  <c r="H169" i="7"/>
  <c r="B185" i="7"/>
  <c r="K185" i="7"/>
  <c r="I185" i="7"/>
  <c r="L185" i="7"/>
  <c r="J185" i="7"/>
  <c r="H185" i="7"/>
  <c r="B201" i="7"/>
  <c r="K201" i="7"/>
  <c r="I201" i="7"/>
  <c r="L201" i="7"/>
  <c r="J201" i="7"/>
  <c r="H201" i="7"/>
  <c r="H127" i="7"/>
  <c r="I199" i="7"/>
  <c r="I71" i="7"/>
  <c r="J143" i="7"/>
  <c r="J15" i="7"/>
  <c r="K87" i="7"/>
  <c r="L45" i="7"/>
  <c r="W71" i="3"/>
  <c r="W56" i="3"/>
  <c r="W9" i="3"/>
  <c r="W27" i="3"/>
  <c r="W59" i="3"/>
  <c r="W12" i="3"/>
  <c r="W28" i="3"/>
  <c r="W44" i="3"/>
  <c r="W60" i="3"/>
  <c r="W76" i="3"/>
  <c r="W92" i="3"/>
  <c r="W108" i="3"/>
  <c r="B10" i="7"/>
  <c r="K10" i="7"/>
  <c r="I10" i="7"/>
  <c r="L10" i="7"/>
  <c r="J10" i="7"/>
  <c r="H10" i="7"/>
  <c r="B26" i="7"/>
  <c r="K26" i="7"/>
  <c r="I26" i="7"/>
  <c r="L26" i="7"/>
  <c r="J26" i="7"/>
  <c r="H26" i="7"/>
  <c r="B42" i="7"/>
  <c r="K42" i="7"/>
  <c r="I42" i="7"/>
  <c r="L42" i="7"/>
  <c r="J42" i="7"/>
  <c r="H42" i="7"/>
  <c r="B58" i="7"/>
  <c r="K58" i="7"/>
  <c r="I58" i="7"/>
  <c r="L58" i="7"/>
  <c r="J58" i="7"/>
  <c r="H58" i="7"/>
  <c r="B74" i="7"/>
  <c r="K74" i="7"/>
  <c r="I74" i="7"/>
  <c r="L74" i="7"/>
  <c r="J74" i="7"/>
  <c r="H74" i="7"/>
  <c r="B90" i="7"/>
  <c r="K90" i="7"/>
  <c r="I90" i="7"/>
  <c r="L90" i="7"/>
  <c r="J90" i="7"/>
  <c r="H90" i="7"/>
  <c r="B106" i="7"/>
  <c r="K106" i="7"/>
  <c r="I106" i="7"/>
  <c r="L106" i="7"/>
  <c r="J106" i="7"/>
  <c r="H106" i="7"/>
  <c r="B122" i="7"/>
  <c r="K122" i="7"/>
  <c r="I122" i="7"/>
  <c r="L122" i="7"/>
  <c r="J122" i="7"/>
  <c r="H122" i="7"/>
  <c r="B138" i="7"/>
  <c r="K138" i="7"/>
  <c r="I138" i="7"/>
  <c r="L138" i="7"/>
  <c r="J138" i="7"/>
  <c r="H138" i="7"/>
  <c r="B154" i="7"/>
  <c r="K154" i="7"/>
  <c r="I154" i="7"/>
  <c r="L154" i="7"/>
  <c r="J154" i="7"/>
  <c r="H154" i="7"/>
  <c r="B170" i="7"/>
  <c r="K170" i="7"/>
  <c r="I170" i="7"/>
  <c r="L170" i="7"/>
  <c r="J170" i="7"/>
  <c r="H170" i="7"/>
  <c r="B186" i="7"/>
  <c r="K186" i="7"/>
  <c r="I186" i="7"/>
  <c r="L186" i="7"/>
  <c r="J186" i="7"/>
  <c r="H186" i="7"/>
  <c r="H125" i="7"/>
  <c r="I197" i="7"/>
  <c r="I69" i="7"/>
  <c r="J141" i="7"/>
  <c r="J13" i="7"/>
  <c r="K85" i="7"/>
  <c r="L29" i="7"/>
  <c r="W55" i="3"/>
  <c r="W13" i="3"/>
  <c r="W45" i="3"/>
  <c r="W93" i="3"/>
  <c r="W109" i="3"/>
  <c r="B162" i="5"/>
  <c r="B11" i="7"/>
  <c r="K11" i="7"/>
  <c r="I11" i="7"/>
  <c r="L11" i="7"/>
  <c r="J11" i="7"/>
  <c r="H11" i="7"/>
  <c r="B27" i="7"/>
  <c r="K27" i="7"/>
  <c r="I27" i="7"/>
  <c r="L27" i="7"/>
  <c r="J27" i="7"/>
  <c r="H27" i="7"/>
  <c r="B43" i="7"/>
  <c r="K43" i="7"/>
  <c r="I43" i="7"/>
  <c r="L43" i="7"/>
  <c r="J43" i="7"/>
  <c r="H43" i="7"/>
  <c r="B59" i="7"/>
  <c r="K59" i="7"/>
  <c r="I59" i="7"/>
  <c r="L59" i="7"/>
  <c r="J59" i="7"/>
  <c r="H59" i="7"/>
  <c r="B75" i="7"/>
  <c r="K75" i="7"/>
  <c r="I75" i="7"/>
  <c r="L75" i="7"/>
  <c r="J75" i="7"/>
  <c r="H75" i="7"/>
  <c r="B91" i="7"/>
  <c r="K91" i="7"/>
  <c r="I91" i="7"/>
  <c r="L91" i="7"/>
  <c r="J91" i="7"/>
  <c r="H91" i="7"/>
  <c r="B107" i="7"/>
  <c r="K107" i="7"/>
  <c r="I107" i="7"/>
  <c r="L107" i="7"/>
  <c r="J107" i="7"/>
  <c r="H107" i="7"/>
  <c r="B123" i="7"/>
  <c r="K123" i="7"/>
  <c r="I123" i="7"/>
  <c r="L123" i="7"/>
  <c r="J123" i="7"/>
  <c r="H123" i="7"/>
  <c r="B139" i="7"/>
  <c r="K139" i="7"/>
  <c r="I139" i="7"/>
  <c r="L139" i="7"/>
  <c r="J139" i="7"/>
  <c r="H139" i="7"/>
  <c r="B155" i="7"/>
  <c r="K155" i="7"/>
  <c r="I155" i="7"/>
  <c r="L155" i="7"/>
  <c r="J155" i="7"/>
  <c r="H155" i="7"/>
  <c r="B171" i="7"/>
  <c r="K171" i="7"/>
  <c r="I171" i="7"/>
  <c r="L171" i="7"/>
  <c r="J171" i="7"/>
  <c r="H171" i="7"/>
  <c r="B187" i="7"/>
  <c r="K187" i="7"/>
  <c r="I187" i="7"/>
  <c r="L187" i="7"/>
  <c r="J187" i="7"/>
  <c r="H187" i="7"/>
  <c r="H111" i="7"/>
  <c r="I183" i="7"/>
  <c r="I55" i="7"/>
  <c r="K199" i="7"/>
  <c r="K69" i="7"/>
  <c r="L13" i="7"/>
  <c r="W29" i="3"/>
  <c r="W61" i="3"/>
  <c r="W77" i="3"/>
  <c r="W14" i="3"/>
  <c r="W30" i="3"/>
  <c r="W46" i="3"/>
  <c r="W62" i="3"/>
  <c r="W78" i="3"/>
  <c r="W94" i="3"/>
  <c r="W110" i="3"/>
  <c r="B179" i="5"/>
  <c r="B12" i="7"/>
  <c r="K12" i="7"/>
  <c r="I12" i="7"/>
  <c r="L12" i="7"/>
  <c r="J12" i="7"/>
  <c r="H12" i="7"/>
  <c r="B28" i="7"/>
  <c r="K28" i="7"/>
  <c r="I28" i="7"/>
  <c r="L28" i="7"/>
  <c r="J28" i="7"/>
  <c r="H28" i="7"/>
  <c r="B44" i="7"/>
  <c r="K44" i="7"/>
  <c r="I44" i="7"/>
  <c r="L44" i="7"/>
  <c r="J44" i="7"/>
  <c r="H44" i="7"/>
  <c r="B60" i="7"/>
  <c r="K60" i="7"/>
  <c r="I60" i="7"/>
  <c r="L60" i="7"/>
  <c r="J60" i="7"/>
  <c r="H60" i="7"/>
  <c r="B76" i="7"/>
  <c r="K76" i="7"/>
  <c r="I76" i="7"/>
  <c r="L76" i="7"/>
  <c r="J76" i="7"/>
  <c r="H76" i="7"/>
  <c r="B92" i="7"/>
  <c r="K92" i="7"/>
  <c r="I92" i="7"/>
  <c r="L92" i="7"/>
  <c r="J92" i="7"/>
  <c r="H92" i="7"/>
  <c r="B108" i="7"/>
  <c r="K108" i="7"/>
  <c r="I108" i="7"/>
  <c r="L108" i="7"/>
  <c r="J108" i="7"/>
  <c r="H108" i="7"/>
  <c r="B124" i="7"/>
  <c r="K124" i="7"/>
  <c r="I124" i="7"/>
  <c r="L124" i="7"/>
  <c r="J124" i="7"/>
  <c r="H124" i="7"/>
  <c r="B140" i="7"/>
  <c r="K140" i="7"/>
  <c r="I140" i="7"/>
  <c r="L140" i="7"/>
  <c r="J140" i="7"/>
  <c r="H140" i="7"/>
  <c r="B156" i="7"/>
  <c r="K156" i="7"/>
  <c r="I156" i="7"/>
  <c r="L156" i="7"/>
  <c r="J156" i="7"/>
  <c r="H156" i="7"/>
  <c r="B172" i="7"/>
  <c r="K172" i="7"/>
  <c r="I172" i="7"/>
  <c r="L172" i="7"/>
  <c r="J172" i="7"/>
  <c r="H172" i="7"/>
  <c r="B188" i="7"/>
  <c r="K188" i="7"/>
  <c r="I188" i="7"/>
  <c r="L188" i="7"/>
  <c r="J188" i="7"/>
  <c r="H188" i="7"/>
  <c r="I181" i="7"/>
  <c r="I53" i="7"/>
  <c r="K197" i="7"/>
  <c r="K53" i="7"/>
  <c r="W95" i="3"/>
  <c r="B196" i="5"/>
  <c r="B13" i="7"/>
  <c r="K13" i="7"/>
  <c r="I13" i="7"/>
  <c r="B29" i="7"/>
  <c r="K29" i="7"/>
  <c r="I29" i="7"/>
  <c r="B45" i="7"/>
  <c r="K45" i="7"/>
  <c r="I45" i="7"/>
  <c r="B61" i="7"/>
  <c r="K61" i="7"/>
  <c r="I61" i="7"/>
  <c r="B77" i="7"/>
  <c r="K77" i="7"/>
  <c r="I77" i="7"/>
  <c r="B93" i="7"/>
  <c r="K93" i="7"/>
  <c r="I93" i="7"/>
  <c r="B109" i="7"/>
  <c r="K109" i="7"/>
  <c r="I109" i="7"/>
  <c r="B125" i="7"/>
  <c r="K125" i="7"/>
  <c r="I125" i="7"/>
  <c r="B141" i="7"/>
  <c r="K141" i="7"/>
  <c r="I141" i="7"/>
  <c r="B157" i="7"/>
  <c r="K157" i="7"/>
  <c r="I157" i="7"/>
  <c r="B173" i="7"/>
  <c r="K173" i="7"/>
  <c r="I173" i="7"/>
  <c r="B189" i="7"/>
  <c r="K189" i="7"/>
  <c r="I189" i="7"/>
  <c r="I167" i="7"/>
  <c r="I39" i="7"/>
  <c r="K183" i="7"/>
  <c r="K37" i="7"/>
  <c r="W80" i="3"/>
  <c r="W96" i="3"/>
  <c r="B197" i="5"/>
  <c r="B14" i="7"/>
  <c r="L14" i="7"/>
  <c r="J14" i="7"/>
  <c r="H14" i="7"/>
  <c r="K14" i="7"/>
  <c r="I14" i="7"/>
  <c r="B30" i="7"/>
  <c r="L30" i="7"/>
  <c r="J30" i="7"/>
  <c r="H30" i="7"/>
  <c r="K30" i="7"/>
  <c r="I30" i="7"/>
  <c r="B46" i="7"/>
  <c r="L46" i="7"/>
  <c r="J46" i="7"/>
  <c r="H46" i="7"/>
  <c r="K46" i="7"/>
  <c r="I46" i="7"/>
  <c r="B62" i="7"/>
  <c r="L62" i="7"/>
  <c r="J62" i="7"/>
  <c r="H62" i="7"/>
  <c r="K62" i="7"/>
  <c r="I62" i="7"/>
  <c r="B78" i="7"/>
  <c r="L78" i="7"/>
  <c r="J78" i="7"/>
  <c r="H78" i="7"/>
  <c r="K78" i="7"/>
  <c r="I78" i="7"/>
  <c r="B94" i="7"/>
  <c r="L94" i="7"/>
  <c r="J94" i="7"/>
  <c r="H94" i="7"/>
  <c r="K94" i="7"/>
  <c r="I94" i="7"/>
  <c r="B110" i="7"/>
  <c r="L110" i="7"/>
  <c r="J110" i="7"/>
  <c r="H110" i="7"/>
  <c r="K110" i="7"/>
  <c r="I110" i="7"/>
  <c r="B126" i="7"/>
  <c r="L126" i="7"/>
  <c r="J126" i="7"/>
  <c r="H126" i="7"/>
  <c r="K126" i="7"/>
  <c r="I126" i="7"/>
  <c r="B142" i="7"/>
  <c r="L142" i="7"/>
  <c r="J142" i="7"/>
  <c r="H142" i="7"/>
  <c r="K142" i="7"/>
  <c r="I142" i="7"/>
  <c r="B158" i="7"/>
  <c r="L158" i="7"/>
  <c r="J158" i="7"/>
  <c r="H158" i="7"/>
  <c r="K158" i="7"/>
  <c r="I158" i="7"/>
  <c r="B174" i="7"/>
  <c r="L174" i="7"/>
  <c r="J174" i="7"/>
  <c r="H174" i="7"/>
  <c r="K174" i="7"/>
  <c r="I174" i="7"/>
  <c r="B190" i="7"/>
  <c r="L190" i="7"/>
  <c r="J190" i="7"/>
  <c r="H190" i="7"/>
  <c r="K190" i="7"/>
  <c r="I190" i="7"/>
  <c r="H93" i="7"/>
  <c r="I165" i="7"/>
  <c r="I37" i="7"/>
  <c r="J109" i="7"/>
  <c r="K181" i="7"/>
  <c r="K21" i="7"/>
  <c r="B15" i="7"/>
  <c r="L15" i="7"/>
  <c r="K15" i="7"/>
  <c r="I15" i="7"/>
  <c r="B31" i="7"/>
  <c r="L31" i="7"/>
  <c r="K31" i="7"/>
  <c r="I31" i="7"/>
  <c r="B47" i="7"/>
  <c r="L47" i="7"/>
  <c r="K47" i="7"/>
  <c r="I47" i="7"/>
  <c r="B63" i="7"/>
  <c r="L63" i="7"/>
  <c r="K63" i="7"/>
  <c r="I63" i="7"/>
  <c r="B79" i="7"/>
  <c r="L79" i="7"/>
  <c r="K79" i="7"/>
  <c r="I79" i="7"/>
  <c r="B95" i="7"/>
  <c r="L95" i="7"/>
  <c r="K95" i="7"/>
  <c r="I95" i="7"/>
  <c r="B111" i="7"/>
  <c r="L111" i="7"/>
  <c r="K111" i="7"/>
  <c r="I111" i="7"/>
  <c r="B127" i="7"/>
  <c r="L127" i="7"/>
  <c r="K127" i="7"/>
  <c r="I127" i="7"/>
  <c r="B143" i="7"/>
  <c r="L143" i="7"/>
  <c r="K143" i="7"/>
  <c r="I143" i="7"/>
  <c r="B159" i="7"/>
  <c r="L159" i="7"/>
  <c r="K159" i="7"/>
  <c r="I159" i="7"/>
  <c r="B175" i="7"/>
  <c r="L175" i="7"/>
  <c r="K175" i="7"/>
  <c r="I175" i="7"/>
  <c r="B191" i="7"/>
  <c r="L191" i="7"/>
  <c r="K191" i="7"/>
  <c r="I191" i="7"/>
  <c r="H79" i="7"/>
  <c r="I151" i="7"/>
  <c r="I23" i="7"/>
  <c r="J95" i="7"/>
  <c r="K167" i="7"/>
  <c r="K5" i="7"/>
  <c r="W98" i="3"/>
  <c r="B199" i="5"/>
  <c r="B16" i="7"/>
  <c r="L16" i="7"/>
  <c r="J16" i="7"/>
  <c r="H16" i="7"/>
  <c r="K16" i="7"/>
  <c r="I16" i="7"/>
  <c r="B32" i="7"/>
  <c r="L32" i="7"/>
  <c r="J32" i="7"/>
  <c r="H32" i="7"/>
  <c r="K32" i="7"/>
  <c r="I32" i="7"/>
  <c r="B48" i="7"/>
  <c r="L48" i="7"/>
  <c r="J48" i="7"/>
  <c r="H48" i="7"/>
  <c r="K48" i="7"/>
  <c r="I48" i="7"/>
  <c r="B64" i="7"/>
  <c r="L64" i="7"/>
  <c r="J64" i="7"/>
  <c r="H64" i="7"/>
  <c r="K64" i="7"/>
  <c r="I64" i="7"/>
  <c r="B80" i="7"/>
  <c r="L80" i="7"/>
  <c r="J80" i="7"/>
  <c r="H80" i="7"/>
  <c r="K80" i="7"/>
  <c r="I80" i="7"/>
  <c r="B96" i="7"/>
  <c r="L96" i="7"/>
  <c r="J96" i="7"/>
  <c r="H96" i="7"/>
  <c r="K96" i="7"/>
  <c r="I96" i="7"/>
  <c r="B112" i="7"/>
  <c r="L112" i="7"/>
  <c r="J112" i="7"/>
  <c r="H112" i="7"/>
  <c r="K112" i="7"/>
  <c r="I112" i="7"/>
  <c r="B128" i="7"/>
  <c r="L128" i="7"/>
  <c r="J128" i="7"/>
  <c r="H128" i="7"/>
  <c r="K128" i="7"/>
  <c r="I128" i="7"/>
  <c r="B144" i="7"/>
  <c r="L144" i="7"/>
  <c r="J144" i="7"/>
  <c r="H144" i="7"/>
  <c r="K144" i="7"/>
  <c r="I144" i="7"/>
  <c r="B160" i="7"/>
  <c r="L160" i="7"/>
  <c r="J160" i="7"/>
  <c r="H160" i="7"/>
  <c r="K160" i="7"/>
  <c r="I160" i="7"/>
  <c r="B176" i="7"/>
  <c r="L176" i="7"/>
  <c r="J176" i="7"/>
  <c r="H176" i="7"/>
  <c r="K176" i="7"/>
  <c r="I176" i="7"/>
  <c r="B192" i="7"/>
  <c r="L192" i="7"/>
  <c r="J192" i="7"/>
  <c r="H192" i="7"/>
  <c r="K192" i="7"/>
  <c r="I192" i="7"/>
  <c r="H77" i="7"/>
  <c r="I149" i="7"/>
  <c r="I21" i="7"/>
  <c r="J93" i="7"/>
  <c r="K165" i="7"/>
  <c r="L189" i="7"/>
  <c r="B16" i="3"/>
  <c r="Q16" i="3"/>
  <c r="P16" i="3"/>
  <c r="O16" i="3"/>
  <c r="B32" i="3"/>
  <c r="Q32" i="3"/>
  <c r="P32" i="3"/>
  <c r="O32" i="3"/>
  <c r="B48" i="3"/>
  <c r="Q48" i="3"/>
  <c r="P48" i="3"/>
  <c r="O48" i="3"/>
  <c r="B64" i="3"/>
  <c r="Q64" i="3"/>
  <c r="O64" i="3"/>
  <c r="P64" i="3"/>
  <c r="B80" i="3"/>
  <c r="Q80" i="3"/>
  <c r="P80" i="3"/>
  <c r="O80" i="3"/>
  <c r="B96" i="3"/>
  <c r="Q96" i="3"/>
  <c r="P96" i="3"/>
  <c r="O96" i="3"/>
  <c r="W112" i="3"/>
  <c r="B112" i="3"/>
  <c r="Q112" i="3"/>
  <c r="P112" i="3"/>
  <c r="O112" i="3"/>
  <c r="W128" i="3"/>
  <c r="B128" i="3"/>
  <c r="Q128" i="3"/>
  <c r="P128" i="3"/>
  <c r="O128" i="3"/>
  <c r="W144" i="3"/>
  <c r="B144" i="3"/>
  <c r="Q144" i="3"/>
  <c r="P144" i="3"/>
  <c r="O144" i="3"/>
  <c r="W160" i="3"/>
  <c r="B160" i="3"/>
  <c r="Q160" i="3"/>
  <c r="P160" i="3"/>
  <c r="O160" i="3"/>
  <c r="W176" i="3"/>
  <c r="B176" i="3"/>
  <c r="Q176" i="3"/>
  <c r="P176" i="3"/>
  <c r="O176" i="3"/>
  <c r="W192" i="3"/>
  <c r="B192" i="3"/>
  <c r="Q192" i="3"/>
  <c r="P192" i="3"/>
  <c r="O192" i="3"/>
  <c r="Q17" i="3"/>
  <c r="O17" i="3"/>
  <c r="B17" i="3"/>
  <c r="P17" i="3"/>
  <c r="O33" i="3"/>
  <c r="P33" i="3"/>
  <c r="B33" i="3"/>
  <c r="Q33" i="3"/>
  <c r="P49" i="3"/>
  <c r="O49" i="3"/>
  <c r="B49" i="3"/>
  <c r="Q49" i="3"/>
  <c r="O65" i="3"/>
  <c r="B65" i="3"/>
  <c r="Q65" i="3"/>
  <c r="P65" i="3"/>
  <c r="B81" i="3"/>
  <c r="O81" i="3"/>
  <c r="Q81" i="3"/>
  <c r="P81" i="3"/>
  <c r="O97" i="3"/>
  <c r="B97" i="3"/>
  <c r="Q97" i="3"/>
  <c r="P97" i="3"/>
  <c r="W113" i="3"/>
  <c r="O113" i="3"/>
  <c r="B113" i="3"/>
  <c r="Q113" i="3"/>
  <c r="P113" i="3"/>
  <c r="W129" i="3"/>
  <c r="O129" i="3"/>
  <c r="P129" i="3"/>
  <c r="B129" i="3"/>
  <c r="Q129" i="3"/>
  <c r="W145" i="3"/>
  <c r="O145" i="3"/>
  <c r="B145" i="3"/>
  <c r="Q145" i="3"/>
  <c r="P145" i="3"/>
  <c r="W161" i="3"/>
  <c r="Q161" i="3"/>
  <c r="O161" i="3"/>
  <c r="B161" i="3"/>
  <c r="P161" i="3"/>
  <c r="O177" i="3"/>
  <c r="B177" i="3"/>
  <c r="W177" i="3"/>
  <c r="P177" i="3"/>
  <c r="Q177" i="3"/>
  <c r="Q193" i="3"/>
  <c r="O193" i="3"/>
  <c r="B193" i="3"/>
  <c r="W193" i="3"/>
  <c r="P193" i="3"/>
  <c r="B18" i="3"/>
  <c r="Q18" i="3"/>
  <c r="P18" i="3"/>
  <c r="O18" i="3"/>
  <c r="B34" i="3"/>
  <c r="Q34" i="3"/>
  <c r="P34" i="3"/>
  <c r="O34" i="3"/>
  <c r="B50" i="3"/>
  <c r="Q50" i="3"/>
  <c r="P50" i="3"/>
  <c r="O50" i="3"/>
  <c r="B66" i="3"/>
  <c r="Q66" i="3"/>
  <c r="O66" i="3"/>
  <c r="P66" i="3"/>
  <c r="B82" i="3"/>
  <c r="Q82" i="3"/>
  <c r="O82" i="3"/>
  <c r="P82" i="3"/>
  <c r="B98" i="3"/>
  <c r="Q98" i="3"/>
  <c r="P98" i="3"/>
  <c r="O98" i="3"/>
  <c r="W114" i="3"/>
  <c r="B114" i="3"/>
  <c r="Q114" i="3"/>
  <c r="O114" i="3"/>
  <c r="P114" i="3"/>
  <c r="W130" i="3"/>
  <c r="B130" i="3"/>
  <c r="Q130" i="3"/>
  <c r="O130" i="3"/>
  <c r="P130" i="3"/>
  <c r="W146" i="3"/>
  <c r="B146" i="3"/>
  <c r="Q146" i="3"/>
  <c r="O146" i="3"/>
  <c r="P146" i="3"/>
  <c r="W162" i="3"/>
  <c r="B162" i="3"/>
  <c r="Q162" i="3"/>
  <c r="O162" i="3"/>
  <c r="P162" i="3"/>
  <c r="W178" i="3"/>
  <c r="B178" i="3"/>
  <c r="Q178" i="3"/>
  <c r="P178" i="3"/>
  <c r="O178" i="3"/>
  <c r="W194" i="3"/>
  <c r="B194" i="3"/>
  <c r="Q194" i="3"/>
  <c r="O194" i="3"/>
  <c r="P194" i="3"/>
  <c r="B19" i="3"/>
  <c r="Q19" i="3"/>
  <c r="P19" i="3"/>
  <c r="O19" i="3"/>
  <c r="B35" i="3"/>
  <c r="Q35" i="3"/>
  <c r="P35" i="3"/>
  <c r="O35" i="3"/>
  <c r="B51" i="3"/>
  <c r="Q51" i="3"/>
  <c r="O51" i="3"/>
  <c r="P51" i="3"/>
  <c r="B67" i="3"/>
  <c r="Q67" i="3"/>
  <c r="O67" i="3"/>
  <c r="P67" i="3"/>
  <c r="B83" i="3"/>
  <c r="Q83" i="3"/>
  <c r="O83" i="3"/>
  <c r="P83" i="3"/>
  <c r="B99" i="3"/>
  <c r="Q99" i="3"/>
  <c r="P99" i="3"/>
  <c r="O99" i="3"/>
  <c r="W115" i="3"/>
  <c r="B115" i="3"/>
  <c r="Q115" i="3"/>
  <c r="O115" i="3"/>
  <c r="P115" i="3"/>
  <c r="W131" i="3"/>
  <c r="B131" i="3"/>
  <c r="Q131" i="3"/>
  <c r="O131" i="3"/>
  <c r="P131" i="3"/>
  <c r="W147" i="3"/>
  <c r="B147" i="3"/>
  <c r="Q147" i="3"/>
  <c r="O147" i="3"/>
  <c r="P147" i="3"/>
  <c r="W163" i="3"/>
  <c r="B163" i="3"/>
  <c r="Q163" i="3"/>
  <c r="O163" i="3"/>
  <c r="P163" i="3"/>
  <c r="W179" i="3"/>
  <c r="B179" i="3"/>
  <c r="Q179" i="3"/>
  <c r="O179" i="3"/>
  <c r="P179" i="3"/>
  <c r="W195" i="3"/>
  <c r="B195" i="3"/>
  <c r="Q195" i="3"/>
  <c r="O195" i="3"/>
  <c r="P195" i="3"/>
  <c r="B4" i="3"/>
  <c r="Q4" i="3"/>
  <c r="O4" i="3"/>
  <c r="P4" i="3"/>
  <c r="B20" i="3"/>
  <c r="Q20" i="3"/>
  <c r="O20" i="3"/>
  <c r="P20" i="3"/>
  <c r="B36" i="3"/>
  <c r="Q36" i="3"/>
  <c r="P36" i="3"/>
  <c r="O36" i="3"/>
  <c r="B52" i="3"/>
  <c r="Q52" i="3"/>
  <c r="O52" i="3"/>
  <c r="P52" i="3"/>
  <c r="B68" i="3"/>
  <c r="Q68" i="3"/>
  <c r="P68" i="3"/>
  <c r="O68" i="3"/>
  <c r="B84" i="3"/>
  <c r="Q84" i="3"/>
  <c r="O84" i="3"/>
  <c r="P84" i="3"/>
  <c r="B100" i="3"/>
  <c r="Q100" i="3"/>
  <c r="P100" i="3"/>
  <c r="O100" i="3"/>
  <c r="W116" i="3"/>
  <c r="B116" i="3"/>
  <c r="Q116" i="3"/>
  <c r="O116" i="3"/>
  <c r="P116" i="3"/>
  <c r="W132" i="3"/>
  <c r="B132" i="3"/>
  <c r="Q132" i="3"/>
  <c r="O132" i="3"/>
  <c r="P132" i="3"/>
  <c r="W148" i="3"/>
  <c r="B148" i="3"/>
  <c r="Q148" i="3"/>
  <c r="P148" i="3"/>
  <c r="O148" i="3"/>
  <c r="W164" i="3"/>
  <c r="B164" i="3"/>
  <c r="Q164" i="3"/>
  <c r="O164" i="3"/>
  <c r="P164" i="3"/>
  <c r="W180" i="3"/>
  <c r="B180" i="3"/>
  <c r="Q180" i="3"/>
  <c r="O180" i="3"/>
  <c r="P180" i="3"/>
  <c r="W196" i="3"/>
  <c r="B196" i="3"/>
  <c r="Q196" i="3"/>
  <c r="O196" i="3"/>
  <c r="P196" i="3"/>
  <c r="B5" i="3"/>
  <c r="Q5" i="3"/>
  <c r="O5" i="3"/>
  <c r="P5" i="3"/>
  <c r="B21" i="3"/>
  <c r="Q21" i="3"/>
  <c r="P21" i="3"/>
  <c r="O21" i="3"/>
  <c r="B37" i="3"/>
  <c r="Q37" i="3"/>
  <c r="O37" i="3"/>
  <c r="P37" i="3"/>
  <c r="B53" i="3"/>
  <c r="Q53" i="3"/>
  <c r="P53" i="3"/>
  <c r="O53" i="3"/>
  <c r="B69" i="3"/>
  <c r="Q69" i="3"/>
  <c r="P69" i="3"/>
  <c r="O69" i="3"/>
  <c r="B85" i="3"/>
  <c r="Q85" i="3"/>
  <c r="O85" i="3"/>
  <c r="P85" i="3"/>
  <c r="B101" i="3"/>
  <c r="Q101" i="3"/>
  <c r="O101" i="3"/>
  <c r="P101" i="3"/>
  <c r="B117" i="3"/>
  <c r="Q117" i="3"/>
  <c r="W117" i="3"/>
  <c r="O117" i="3"/>
  <c r="P117" i="3"/>
  <c r="B133" i="3"/>
  <c r="Q133" i="3"/>
  <c r="W133" i="3"/>
  <c r="O133" i="3"/>
  <c r="P133" i="3"/>
  <c r="B149" i="3"/>
  <c r="Q149" i="3"/>
  <c r="O149" i="3"/>
  <c r="W149" i="3"/>
  <c r="P149" i="3"/>
  <c r="B165" i="3"/>
  <c r="Q165" i="3"/>
  <c r="O165" i="3"/>
  <c r="P165" i="3"/>
  <c r="W165" i="3"/>
  <c r="B181" i="3"/>
  <c r="O181" i="3"/>
  <c r="W181" i="3"/>
  <c r="Q181" i="3"/>
  <c r="P181" i="3"/>
  <c r="B197" i="3"/>
  <c r="W197" i="3"/>
  <c r="Q197" i="3"/>
  <c r="O197" i="3"/>
  <c r="P197" i="3"/>
  <c r="P6" i="3"/>
  <c r="B6" i="3"/>
  <c r="O6" i="3"/>
  <c r="Q6" i="3"/>
  <c r="P22" i="3"/>
  <c r="B22" i="3"/>
  <c r="Q22" i="3"/>
  <c r="O22" i="3"/>
  <c r="P38" i="3"/>
  <c r="Q38" i="3"/>
  <c r="B38" i="3"/>
  <c r="O38" i="3"/>
  <c r="P54" i="3"/>
  <c r="Q54" i="3"/>
  <c r="B54" i="3"/>
  <c r="O54" i="3"/>
  <c r="Q70" i="3"/>
  <c r="P70" i="3"/>
  <c r="B70" i="3"/>
  <c r="O70" i="3"/>
  <c r="P86" i="3"/>
  <c r="B86" i="3"/>
  <c r="Q86" i="3"/>
  <c r="O86" i="3"/>
  <c r="P102" i="3"/>
  <c r="B102" i="3"/>
  <c r="O102" i="3"/>
  <c r="Q102" i="3"/>
  <c r="W118" i="3"/>
  <c r="P118" i="3"/>
  <c r="B118" i="3"/>
  <c r="Q118" i="3"/>
  <c r="O118" i="3"/>
  <c r="W134" i="3"/>
  <c r="P134" i="3"/>
  <c r="B134" i="3"/>
  <c r="Q134" i="3"/>
  <c r="O134" i="3"/>
  <c r="W150" i="3"/>
  <c r="P150" i="3"/>
  <c r="B150" i="3"/>
  <c r="Q150" i="3"/>
  <c r="O150" i="3"/>
  <c r="W166" i="3"/>
  <c r="P166" i="3"/>
  <c r="B166" i="3"/>
  <c r="Q166" i="3"/>
  <c r="O166" i="3"/>
  <c r="W182" i="3"/>
  <c r="P182" i="3"/>
  <c r="B182" i="3"/>
  <c r="Q182" i="3"/>
  <c r="O182" i="3"/>
  <c r="W198" i="3"/>
  <c r="P198" i="3"/>
  <c r="Q198" i="3"/>
  <c r="B198" i="3"/>
  <c r="O198" i="3"/>
  <c r="P7" i="3"/>
  <c r="B7" i="3"/>
  <c r="O7" i="3"/>
  <c r="Q7" i="3"/>
  <c r="P23" i="3"/>
  <c r="Q23" i="3"/>
  <c r="O23" i="3"/>
  <c r="B23" i="3"/>
  <c r="P39" i="3"/>
  <c r="B39" i="3"/>
  <c r="O39" i="3"/>
  <c r="Q39" i="3"/>
  <c r="P55" i="3"/>
  <c r="Q55" i="3"/>
  <c r="B55" i="3"/>
  <c r="O55" i="3"/>
  <c r="P71" i="3"/>
  <c r="O71" i="3"/>
  <c r="B71" i="3"/>
  <c r="Q71" i="3"/>
  <c r="P87" i="3"/>
  <c r="O87" i="3"/>
  <c r="Q87" i="3"/>
  <c r="B87" i="3"/>
  <c r="P103" i="3"/>
  <c r="B103" i="3"/>
  <c r="O103" i="3"/>
  <c r="Q103" i="3"/>
  <c r="W119" i="3"/>
  <c r="P119" i="3"/>
  <c r="O119" i="3"/>
  <c r="B119" i="3"/>
  <c r="Q119" i="3"/>
  <c r="W135" i="3"/>
  <c r="P135" i="3"/>
  <c r="B135" i="3"/>
  <c r="O135" i="3"/>
  <c r="Q135" i="3"/>
  <c r="W151" i="3"/>
  <c r="P151" i="3"/>
  <c r="O151" i="3"/>
  <c r="B151" i="3"/>
  <c r="Q151" i="3"/>
  <c r="W167" i="3"/>
  <c r="B167" i="3"/>
  <c r="P167" i="3"/>
  <c r="Q167" i="3"/>
  <c r="O167" i="3"/>
  <c r="W183" i="3"/>
  <c r="P183" i="3"/>
  <c r="B183" i="3"/>
  <c r="O183" i="3"/>
  <c r="Q183" i="3"/>
  <c r="W199" i="3"/>
  <c r="P199" i="3"/>
  <c r="Q199" i="3"/>
  <c r="O199" i="3"/>
  <c r="B199" i="3"/>
  <c r="P8" i="3"/>
  <c r="B8" i="3"/>
  <c r="O8" i="3"/>
  <c r="Q8" i="3"/>
  <c r="P24" i="3"/>
  <c r="O24" i="3"/>
  <c r="B24" i="3"/>
  <c r="Q24" i="3"/>
  <c r="P40" i="3"/>
  <c r="B40" i="3"/>
  <c r="O40" i="3"/>
  <c r="Q40" i="3"/>
  <c r="P56" i="3"/>
  <c r="B56" i="3"/>
  <c r="O56" i="3"/>
  <c r="Q56" i="3"/>
  <c r="Q72" i="3"/>
  <c r="O72" i="3"/>
  <c r="P72" i="3"/>
  <c r="B72" i="3"/>
  <c r="Q88" i="3"/>
  <c r="B88" i="3"/>
  <c r="O88" i="3"/>
  <c r="P88" i="3"/>
  <c r="Q104" i="3"/>
  <c r="B104" i="3"/>
  <c r="O104" i="3"/>
  <c r="P104" i="3"/>
  <c r="W120" i="3"/>
  <c r="O120" i="3"/>
  <c r="B120" i="3"/>
  <c r="Q120" i="3"/>
  <c r="P120" i="3"/>
  <c r="W136" i="3"/>
  <c r="B136" i="3"/>
  <c r="O136" i="3"/>
  <c r="Q136" i="3"/>
  <c r="P136" i="3"/>
  <c r="W152" i="3"/>
  <c r="O152" i="3"/>
  <c r="P152" i="3"/>
  <c r="Q152" i="3"/>
  <c r="B152" i="3"/>
  <c r="W168" i="3"/>
  <c r="B168" i="3"/>
  <c r="O168" i="3"/>
  <c r="Q168" i="3"/>
  <c r="P168" i="3"/>
  <c r="W184" i="3"/>
  <c r="B184" i="3"/>
  <c r="O184" i="3"/>
  <c r="P184" i="3"/>
  <c r="Q184" i="3"/>
  <c r="W200" i="3"/>
  <c r="O200" i="3"/>
  <c r="P200" i="3"/>
  <c r="Q200" i="3"/>
  <c r="B200" i="3"/>
  <c r="B9" i="3"/>
  <c r="P9" i="3"/>
  <c r="O9" i="3"/>
  <c r="Q9" i="3"/>
  <c r="B25" i="3"/>
  <c r="Q25" i="3"/>
  <c r="P25" i="3"/>
  <c r="O25" i="3"/>
  <c r="B41" i="3"/>
  <c r="P41" i="3"/>
  <c r="Q41" i="3"/>
  <c r="O41" i="3"/>
  <c r="Q57" i="3"/>
  <c r="B57" i="3"/>
  <c r="O57" i="3"/>
  <c r="P57" i="3"/>
  <c r="Q73" i="3"/>
  <c r="P73" i="3"/>
  <c r="B73" i="3"/>
  <c r="O73" i="3"/>
  <c r="Q89" i="3"/>
  <c r="P89" i="3"/>
  <c r="B89" i="3"/>
  <c r="O89" i="3"/>
  <c r="P105" i="3"/>
  <c r="B105" i="3"/>
  <c r="O105" i="3"/>
  <c r="Q105" i="3"/>
  <c r="W121" i="3"/>
  <c r="B121" i="3"/>
  <c r="P121" i="3"/>
  <c r="Q121" i="3"/>
  <c r="O121" i="3"/>
  <c r="W137" i="3"/>
  <c r="P137" i="3"/>
  <c r="B137" i="3"/>
  <c r="Q137" i="3"/>
  <c r="O137" i="3"/>
  <c r="W153" i="3"/>
  <c r="P153" i="3"/>
  <c r="B153" i="3"/>
  <c r="Q153" i="3"/>
  <c r="O153" i="3"/>
  <c r="W169" i="3"/>
  <c r="P169" i="3"/>
  <c r="B169" i="3"/>
  <c r="O169" i="3"/>
  <c r="Q169" i="3"/>
  <c r="W185" i="3"/>
  <c r="P185" i="3"/>
  <c r="B185" i="3"/>
  <c r="O185" i="3"/>
  <c r="Q185" i="3"/>
  <c r="W201" i="3"/>
  <c r="P201" i="3"/>
  <c r="O201" i="3"/>
  <c r="Q201" i="3"/>
  <c r="B201" i="3"/>
  <c r="P10" i="3"/>
  <c r="B10" i="3"/>
  <c r="O10" i="3"/>
  <c r="Q10" i="3"/>
  <c r="P26" i="3"/>
  <c r="O26" i="3"/>
  <c r="B26" i="3"/>
  <c r="Q26" i="3"/>
  <c r="P42" i="3"/>
  <c r="B42" i="3"/>
  <c r="Q42" i="3"/>
  <c r="O42" i="3"/>
  <c r="P58" i="3"/>
  <c r="B58" i="3"/>
  <c r="O58" i="3"/>
  <c r="Q58" i="3"/>
  <c r="P74" i="3"/>
  <c r="B74" i="3"/>
  <c r="Q74" i="3"/>
  <c r="O74" i="3"/>
  <c r="B90" i="3"/>
  <c r="Q90" i="3"/>
  <c r="O90" i="3"/>
  <c r="P90" i="3"/>
  <c r="Q106" i="3"/>
  <c r="O106" i="3"/>
  <c r="P106" i="3"/>
  <c r="B106" i="3"/>
  <c r="Q122" i="3"/>
  <c r="B122" i="3"/>
  <c r="W122" i="3"/>
  <c r="O122" i="3"/>
  <c r="P122" i="3"/>
  <c r="B138" i="3"/>
  <c r="W138" i="3"/>
  <c r="Q138" i="3"/>
  <c r="O138" i="3"/>
  <c r="P138" i="3"/>
  <c r="O154" i="3"/>
  <c r="P154" i="3"/>
  <c r="Q154" i="3"/>
  <c r="W154" i="3"/>
  <c r="B154" i="3"/>
  <c r="B170" i="3"/>
  <c r="W170" i="3"/>
  <c r="O170" i="3"/>
  <c r="Q170" i="3"/>
  <c r="P170" i="3"/>
  <c r="B186" i="3"/>
  <c r="W186" i="3"/>
  <c r="Q186" i="3"/>
  <c r="O186" i="3"/>
  <c r="P186" i="3"/>
  <c r="W202" i="3"/>
  <c r="P202" i="3"/>
  <c r="Q202" i="3"/>
  <c r="B202" i="3"/>
  <c r="O202" i="3"/>
  <c r="B11" i="3"/>
  <c r="Q11" i="3"/>
  <c r="P11" i="3"/>
  <c r="O11" i="3"/>
  <c r="B27" i="3"/>
  <c r="Q27" i="3"/>
  <c r="P27" i="3"/>
  <c r="O27" i="3"/>
  <c r="B43" i="3"/>
  <c r="Q43" i="3"/>
  <c r="P43" i="3"/>
  <c r="O43" i="3"/>
  <c r="B59" i="3"/>
  <c r="Q59" i="3"/>
  <c r="P59" i="3"/>
  <c r="O59" i="3"/>
  <c r="B75" i="3"/>
  <c r="Q75" i="3"/>
  <c r="P75" i="3"/>
  <c r="O75" i="3"/>
  <c r="B91" i="3"/>
  <c r="Q91" i="3"/>
  <c r="O91" i="3"/>
  <c r="P91" i="3"/>
  <c r="B107" i="3"/>
  <c r="Q107" i="3"/>
  <c r="O107" i="3"/>
  <c r="P107" i="3"/>
  <c r="B123" i="3"/>
  <c r="Q123" i="3"/>
  <c r="P123" i="3"/>
  <c r="W123" i="3"/>
  <c r="O123" i="3"/>
  <c r="B139" i="3"/>
  <c r="Q139" i="3"/>
  <c r="W139" i="3"/>
  <c r="O139" i="3"/>
  <c r="P139" i="3"/>
  <c r="B155" i="3"/>
  <c r="Q155" i="3"/>
  <c r="O155" i="3"/>
  <c r="P155" i="3"/>
  <c r="W155" i="3"/>
  <c r="B171" i="3"/>
  <c r="Q171" i="3"/>
  <c r="W171" i="3"/>
  <c r="O171" i="3"/>
  <c r="P171" i="3"/>
  <c r="B187" i="3"/>
  <c r="Q187" i="3"/>
  <c r="W187" i="3"/>
  <c r="O187" i="3"/>
  <c r="P187" i="3"/>
  <c r="B12" i="3"/>
  <c r="Q12" i="3"/>
  <c r="P12" i="3"/>
  <c r="O12" i="3"/>
  <c r="B28" i="3"/>
  <c r="Q28" i="3"/>
  <c r="P28" i="3"/>
  <c r="O28" i="3"/>
  <c r="B44" i="3"/>
  <c r="Q44" i="3"/>
  <c r="P44" i="3"/>
  <c r="O44" i="3"/>
  <c r="B60" i="3"/>
  <c r="Q60" i="3"/>
  <c r="P60" i="3"/>
  <c r="O60" i="3"/>
  <c r="B76" i="3"/>
  <c r="Q76" i="3"/>
  <c r="P76" i="3"/>
  <c r="O76" i="3"/>
  <c r="B92" i="3"/>
  <c r="Q92" i="3"/>
  <c r="P92" i="3"/>
  <c r="O92" i="3"/>
  <c r="B108" i="3"/>
  <c r="Q108" i="3"/>
  <c r="O108" i="3"/>
  <c r="P108" i="3"/>
  <c r="B124" i="3"/>
  <c r="Q124" i="3"/>
  <c r="W124" i="3"/>
  <c r="P124" i="3"/>
  <c r="O124" i="3"/>
  <c r="B140" i="3"/>
  <c r="Q140" i="3"/>
  <c r="W140" i="3"/>
  <c r="O140" i="3"/>
  <c r="P140" i="3"/>
  <c r="B156" i="3"/>
  <c r="Q156" i="3"/>
  <c r="O156" i="3"/>
  <c r="P156" i="3"/>
  <c r="W156" i="3"/>
  <c r="B172" i="3"/>
  <c r="Q172" i="3"/>
  <c r="W172" i="3"/>
  <c r="O172" i="3"/>
  <c r="P172" i="3"/>
  <c r="B188" i="3"/>
  <c r="Q188" i="3"/>
  <c r="W188" i="3"/>
  <c r="O188" i="3"/>
  <c r="P188" i="3"/>
  <c r="B3" i="3"/>
  <c r="Q3" i="3"/>
  <c r="P3" i="3"/>
  <c r="O3" i="3"/>
  <c r="B13" i="3"/>
  <c r="Q13" i="3"/>
  <c r="P13" i="3"/>
  <c r="O13" i="3"/>
  <c r="B29" i="3"/>
  <c r="Q29" i="3"/>
  <c r="O29" i="3"/>
  <c r="P29" i="3"/>
  <c r="B45" i="3"/>
  <c r="O45" i="3"/>
  <c r="P45" i="3"/>
  <c r="Q45" i="3"/>
  <c r="B61" i="3"/>
  <c r="P61" i="3"/>
  <c r="O61" i="3"/>
  <c r="Q61" i="3"/>
  <c r="B77" i="3"/>
  <c r="P77" i="3"/>
  <c r="Q77" i="3"/>
  <c r="O77" i="3"/>
  <c r="B93" i="3"/>
  <c r="Q93" i="3"/>
  <c r="P93" i="3"/>
  <c r="O93" i="3"/>
  <c r="B109" i="3"/>
  <c r="P109" i="3"/>
  <c r="Q109" i="3"/>
  <c r="O109" i="3"/>
  <c r="B125" i="3"/>
  <c r="Q125" i="3"/>
  <c r="W125" i="3"/>
  <c r="P125" i="3"/>
  <c r="O125" i="3"/>
  <c r="B141" i="3"/>
  <c r="P141" i="3"/>
  <c r="W141" i="3"/>
  <c r="Q141" i="3"/>
  <c r="O141" i="3"/>
  <c r="B157" i="3"/>
  <c r="W157" i="3"/>
  <c r="P157" i="3"/>
  <c r="O157" i="3"/>
  <c r="Q157" i="3"/>
  <c r="B173" i="3"/>
  <c r="W173" i="3"/>
  <c r="Q173" i="3"/>
  <c r="P173" i="3"/>
  <c r="O173" i="3"/>
  <c r="B189" i="3"/>
  <c r="P189" i="3"/>
  <c r="Q189" i="3"/>
  <c r="O189" i="3"/>
  <c r="W189" i="3"/>
  <c r="B14" i="3"/>
  <c r="Q14" i="3"/>
  <c r="O14" i="3"/>
  <c r="P14" i="3"/>
  <c r="B30" i="3"/>
  <c r="Q30" i="3"/>
  <c r="O30" i="3"/>
  <c r="P30" i="3"/>
  <c r="B46" i="3"/>
  <c r="Q46" i="3"/>
  <c r="P46" i="3"/>
  <c r="O46" i="3"/>
  <c r="B62" i="3"/>
  <c r="Q62" i="3"/>
  <c r="O62" i="3"/>
  <c r="P62" i="3"/>
  <c r="B78" i="3"/>
  <c r="Q78" i="3"/>
  <c r="O78" i="3"/>
  <c r="P78" i="3"/>
  <c r="B94" i="3"/>
  <c r="Q94" i="3"/>
  <c r="O94" i="3"/>
  <c r="P94" i="3"/>
  <c r="B110" i="3"/>
  <c r="Q110" i="3"/>
  <c r="O110" i="3"/>
  <c r="P110" i="3"/>
  <c r="B126" i="3"/>
  <c r="Q126" i="3"/>
  <c r="O126" i="3"/>
  <c r="W126" i="3"/>
  <c r="P126" i="3"/>
  <c r="B142" i="3"/>
  <c r="Q142" i="3"/>
  <c r="O142" i="3"/>
  <c r="W142" i="3"/>
  <c r="P142" i="3"/>
  <c r="B158" i="3"/>
  <c r="Q158" i="3"/>
  <c r="O158" i="3"/>
  <c r="W158" i="3"/>
  <c r="P158" i="3"/>
  <c r="B174" i="3"/>
  <c r="Q174" i="3"/>
  <c r="O174" i="3"/>
  <c r="W174" i="3"/>
  <c r="P174" i="3"/>
  <c r="B190" i="3"/>
  <c r="Q190" i="3"/>
  <c r="O190" i="3"/>
  <c r="P190" i="3"/>
  <c r="W190" i="3"/>
  <c r="B15" i="3"/>
  <c r="Q15" i="3"/>
  <c r="O15" i="3"/>
  <c r="P15" i="3"/>
  <c r="B31" i="3"/>
  <c r="Q31" i="3"/>
  <c r="O31" i="3"/>
  <c r="P31" i="3"/>
  <c r="B47" i="3"/>
  <c r="Q47" i="3"/>
  <c r="P47" i="3"/>
  <c r="O47" i="3"/>
  <c r="B63" i="3"/>
  <c r="Q63" i="3"/>
  <c r="O63" i="3"/>
  <c r="P63" i="3"/>
  <c r="B79" i="3"/>
  <c r="Q79" i="3"/>
  <c r="O79" i="3"/>
  <c r="P79" i="3"/>
  <c r="B95" i="3"/>
  <c r="Q95" i="3"/>
  <c r="O95" i="3"/>
  <c r="P95" i="3"/>
  <c r="W111" i="3"/>
  <c r="B111" i="3"/>
  <c r="Q111" i="3"/>
  <c r="O111" i="3"/>
  <c r="P111" i="3"/>
  <c r="W127" i="3"/>
  <c r="B127" i="3"/>
  <c r="Q127" i="3"/>
  <c r="O127" i="3"/>
  <c r="P127" i="3"/>
  <c r="W143" i="3"/>
  <c r="B143" i="3"/>
  <c r="Q143" i="3"/>
  <c r="O143" i="3"/>
  <c r="P143" i="3"/>
  <c r="W159" i="3"/>
  <c r="B159" i="3"/>
  <c r="Q159" i="3"/>
  <c r="O159" i="3"/>
  <c r="P159" i="3"/>
  <c r="W175" i="3"/>
  <c r="B175" i="3"/>
  <c r="Q175" i="3"/>
  <c r="O175" i="3"/>
  <c r="P175" i="3"/>
  <c r="W191" i="3"/>
  <c r="B191" i="3"/>
  <c r="Q191" i="3"/>
  <c r="O191" i="3"/>
  <c r="P191" i="3"/>
  <c r="T173" i="7"/>
  <c r="T162" i="7"/>
  <c r="T182" i="7"/>
  <c r="T6" i="7"/>
  <c r="T22" i="7"/>
  <c r="T38" i="7"/>
  <c r="T54" i="7"/>
  <c r="T70" i="7"/>
  <c r="T185" i="7"/>
  <c r="T20" i="7"/>
  <c r="T36" i="7"/>
  <c r="T52" i="7"/>
  <c r="T68" i="7"/>
  <c r="T4" i="7"/>
  <c r="T9" i="7"/>
  <c r="T41" i="7"/>
  <c r="T57" i="7"/>
  <c r="T25" i="7"/>
  <c r="T171" i="7"/>
  <c r="T191" i="7"/>
  <c r="T172" i="7"/>
  <c r="T3" i="7"/>
  <c r="T19" i="7"/>
  <c r="T35" i="7"/>
  <c r="T51" i="7"/>
  <c r="T67" i="7"/>
  <c r="T183" i="7"/>
  <c r="T7" i="7"/>
  <c r="T23" i="7"/>
  <c r="T39" i="7"/>
  <c r="T55" i="7"/>
  <c r="T167" i="7"/>
  <c r="T164" i="7"/>
  <c r="T69" i="7"/>
  <c r="T53" i="7"/>
  <c r="T37" i="7"/>
  <c r="T21" i="7"/>
  <c r="T5" i="7"/>
  <c r="T180" i="7"/>
  <c r="T184" i="7"/>
  <c r="T8" i="7"/>
  <c r="T24" i="7"/>
  <c r="T40" i="7"/>
  <c r="T56" i="7"/>
  <c r="T165" i="7"/>
  <c r="T196" i="7"/>
  <c r="T72" i="7"/>
  <c r="T197" i="7"/>
  <c r="T166" i="7"/>
  <c r="T198" i="7"/>
  <c r="T179" i="7"/>
  <c r="T42" i="7"/>
  <c r="T199" i="7"/>
  <c r="T26" i="7"/>
  <c r="T58" i="7"/>
  <c r="T169" i="7"/>
  <c r="T10" i="7"/>
  <c r="T168" i="7"/>
  <c r="T170" i="7"/>
  <c r="T181" i="7"/>
  <c r="T190" i="7"/>
  <c r="T201" i="7"/>
  <c r="T192" i="7"/>
  <c r="T60" i="7"/>
  <c r="T13" i="7"/>
  <c r="T29" i="7"/>
  <c r="T45" i="7"/>
  <c r="T61" i="7"/>
  <c r="T186" i="7"/>
  <c r="T27" i="7"/>
  <c r="T28" i="7"/>
  <c r="T14" i="7"/>
  <c r="T30" i="7"/>
  <c r="T46" i="7"/>
  <c r="T62" i="7"/>
  <c r="T177" i="7"/>
  <c r="T59" i="7"/>
  <c r="T15" i="7"/>
  <c r="T31" i="7"/>
  <c r="T47" i="7"/>
  <c r="T63" i="7"/>
  <c r="T12" i="7"/>
  <c r="T16" i="7"/>
  <c r="T32" i="7"/>
  <c r="T48" i="7"/>
  <c r="T64" i="7"/>
  <c r="T178" i="7"/>
  <c r="T188" i="7"/>
  <c r="T11" i="7"/>
  <c r="T44" i="7"/>
  <c r="T17" i="7"/>
  <c r="T33" i="7"/>
  <c r="T49" i="7"/>
  <c r="T65" i="7"/>
  <c r="T174" i="7"/>
  <c r="T43" i="7"/>
  <c r="T175" i="7"/>
  <c r="T18" i="7"/>
  <c r="T34" i="7"/>
  <c r="T50" i="7"/>
  <c r="T66" i="7"/>
  <c r="T189" i="7"/>
  <c r="T193" i="7"/>
  <c r="T200" i="7"/>
  <c r="T194" i="7"/>
  <c r="T187" i="7"/>
  <c r="T195" i="7"/>
  <c r="T163" i="7"/>
  <c r="T176" i="7"/>
  <c r="A2" i="4" l="1"/>
  <c r="A3" i="4"/>
  <c r="B3" i="4" s="1"/>
  <c r="A4" i="4"/>
  <c r="B4" i="4" s="1"/>
  <c r="A5" i="2"/>
  <c r="A5" i="4"/>
  <c r="B5" i="4" s="1"/>
  <c r="A21" i="4"/>
  <c r="B21" i="4" s="1"/>
  <c r="A37" i="4"/>
  <c r="B37" i="4" s="1"/>
  <c r="A53" i="4"/>
  <c r="B53" i="4" s="1"/>
  <c r="A69" i="4"/>
  <c r="B69" i="4" s="1"/>
  <c r="A85" i="4"/>
  <c r="B85" i="4" s="1"/>
  <c r="A101" i="4"/>
  <c r="B101" i="4" s="1"/>
  <c r="A117" i="4"/>
  <c r="B117" i="4" s="1"/>
  <c r="A133" i="4"/>
  <c r="B133" i="4" s="1"/>
  <c r="A149" i="4"/>
  <c r="B149" i="4" s="1"/>
  <c r="A156" i="4"/>
  <c r="B156" i="4" s="1"/>
  <c r="A165" i="4"/>
  <c r="B165" i="4" s="1"/>
  <c r="A172" i="4"/>
  <c r="B172" i="4" s="1"/>
  <c r="A173" i="4"/>
  <c r="B173" i="4" s="1"/>
  <c r="A180" i="4"/>
  <c r="B180" i="4" s="1"/>
  <c r="A181" i="4"/>
  <c r="B181" i="4" s="1"/>
  <c r="A187" i="4"/>
  <c r="B187" i="4" s="1"/>
  <c r="A188" i="4"/>
  <c r="B188" i="4" s="1"/>
  <c r="A189" i="4"/>
  <c r="B189" i="4" s="1"/>
  <c r="A195" i="4"/>
  <c r="B195" i="4" s="1"/>
  <c r="A196" i="4"/>
  <c r="B196" i="4" s="1"/>
  <c r="A197" i="4"/>
  <c r="B197" i="4" s="1"/>
  <c r="A201" i="4"/>
  <c r="B201" i="4" s="1"/>
  <c r="A200" i="4"/>
  <c r="B200" i="4" s="1"/>
  <c r="A199" i="4"/>
  <c r="B199" i="4" s="1"/>
  <c r="A198" i="4"/>
  <c r="B198" i="4" s="1"/>
  <c r="A194" i="4"/>
  <c r="B194" i="4" s="1"/>
  <c r="A193" i="4"/>
  <c r="B193" i="4" s="1"/>
  <c r="A192" i="4"/>
  <c r="B192" i="4" s="1"/>
  <c r="A191" i="4"/>
  <c r="B191" i="4" s="1"/>
  <c r="A190" i="4"/>
  <c r="B190" i="4" s="1"/>
  <c r="A186" i="4"/>
  <c r="B186" i="4" s="1"/>
  <c r="A185" i="4"/>
  <c r="B185" i="4" s="1"/>
  <c r="A184" i="4"/>
  <c r="B184" i="4" s="1"/>
  <c r="A183" i="4"/>
  <c r="B183" i="4" s="1"/>
  <c r="A182" i="4"/>
  <c r="B182" i="4" s="1"/>
  <c r="A179" i="4"/>
  <c r="B179" i="4" s="1"/>
  <c r="A178" i="4"/>
  <c r="B178" i="4" s="1"/>
  <c r="A177" i="4"/>
  <c r="B177" i="4" s="1"/>
  <c r="A176" i="4"/>
  <c r="B176" i="4" s="1"/>
  <c r="A175" i="4"/>
  <c r="B175" i="4" s="1"/>
  <c r="A174" i="4"/>
  <c r="B174" i="4" s="1"/>
  <c r="A171" i="4"/>
  <c r="B171" i="4" s="1"/>
  <c r="A170" i="4"/>
  <c r="B170" i="4" s="1"/>
  <c r="A169" i="4"/>
  <c r="B169" i="4" s="1"/>
  <c r="A168" i="4"/>
  <c r="B168" i="4" s="1"/>
  <c r="A167" i="4"/>
  <c r="B167" i="4" s="1"/>
  <c r="A166" i="4"/>
  <c r="B166" i="4" s="1"/>
  <c r="A164" i="4"/>
  <c r="B164" i="4" s="1"/>
  <c r="A163" i="4"/>
  <c r="B163" i="4" s="1"/>
  <c r="A162" i="4"/>
  <c r="B162" i="4" s="1"/>
  <c r="A161" i="4"/>
  <c r="B161" i="4" s="1"/>
  <c r="A160" i="4"/>
  <c r="B160" i="4" s="1"/>
  <c r="A159" i="4"/>
  <c r="B159" i="4" s="1"/>
  <c r="A158" i="4"/>
  <c r="B158" i="4" s="1"/>
  <c r="A157" i="4"/>
  <c r="B157" i="4" s="1"/>
  <c r="A155" i="4"/>
  <c r="B155" i="4" s="1"/>
  <c r="A154" i="4"/>
  <c r="B154" i="4" s="1"/>
  <c r="A153" i="4"/>
  <c r="B153" i="4" s="1"/>
  <c r="A152" i="4"/>
  <c r="B152" i="4" s="1"/>
  <c r="A151" i="4"/>
  <c r="B151" i="4" s="1"/>
  <c r="A150" i="4"/>
  <c r="B150" i="4" s="1"/>
  <c r="A148" i="4"/>
  <c r="B148" i="4" s="1"/>
  <c r="A147" i="4"/>
  <c r="B147" i="4" s="1"/>
  <c r="A146" i="4"/>
  <c r="B146" i="4" s="1"/>
  <c r="A145" i="4"/>
  <c r="B145" i="4" s="1"/>
  <c r="A144" i="4"/>
  <c r="B144" i="4" s="1"/>
  <c r="A143" i="4"/>
  <c r="B143" i="4" s="1"/>
  <c r="A142" i="4"/>
  <c r="B142" i="4" s="1"/>
  <c r="A141" i="4"/>
  <c r="B141" i="4" s="1"/>
  <c r="A140" i="4"/>
  <c r="B140" i="4" s="1"/>
  <c r="A139" i="4"/>
  <c r="B139" i="4" s="1"/>
  <c r="A138" i="4"/>
  <c r="B138" i="4" s="1"/>
  <c r="A137" i="4"/>
  <c r="B137" i="4" s="1"/>
  <c r="A136" i="4"/>
  <c r="B136" i="4" s="1"/>
  <c r="A135" i="4"/>
  <c r="B135" i="4" s="1"/>
  <c r="A134" i="4"/>
  <c r="B134" i="4" s="1"/>
  <c r="A132" i="4"/>
  <c r="B132" i="4" s="1"/>
  <c r="A131" i="4"/>
  <c r="B131" i="4" s="1"/>
  <c r="A130" i="4"/>
  <c r="B130" i="4" s="1"/>
  <c r="A129" i="4"/>
  <c r="B129" i="4" s="1"/>
  <c r="A128" i="4"/>
  <c r="B128" i="4" s="1"/>
  <c r="A127" i="4"/>
  <c r="B127" i="4" s="1"/>
  <c r="A126" i="4"/>
  <c r="B126" i="4" s="1"/>
  <c r="A125" i="4"/>
  <c r="B125" i="4" s="1"/>
  <c r="A124" i="4"/>
  <c r="B124" i="4" s="1"/>
  <c r="A123" i="4"/>
  <c r="B123" i="4" s="1"/>
  <c r="A122" i="4"/>
  <c r="B122" i="4" s="1"/>
  <c r="A121" i="4"/>
  <c r="B121" i="4" s="1"/>
  <c r="A120" i="4"/>
  <c r="B120" i="4" s="1"/>
  <c r="A119" i="4"/>
  <c r="B119" i="4" s="1"/>
  <c r="A118" i="4"/>
  <c r="B118" i="4" s="1"/>
  <c r="A116" i="4"/>
  <c r="B116" i="4" s="1"/>
  <c r="A115" i="4"/>
  <c r="B115" i="4" s="1"/>
  <c r="A114" i="4"/>
  <c r="B114" i="4" s="1"/>
  <c r="A113" i="4"/>
  <c r="B113" i="4" s="1"/>
  <c r="A112" i="4"/>
  <c r="B112" i="4" s="1"/>
  <c r="A111" i="4"/>
  <c r="B111" i="4" s="1"/>
  <c r="A110" i="4"/>
  <c r="B110" i="4" s="1"/>
  <c r="A109" i="4"/>
  <c r="B109" i="4" s="1"/>
  <c r="A108" i="4"/>
  <c r="B108" i="4" s="1"/>
  <c r="A107" i="4"/>
  <c r="B107" i="4" s="1"/>
  <c r="A106" i="4"/>
  <c r="B106" i="4" s="1"/>
  <c r="A105" i="4"/>
  <c r="B105" i="4" s="1"/>
  <c r="A104" i="4"/>
  <c r="B104" i="4" s="1"/>
  <c r="A103" i="4"/>
  <c r="B103" i="4" s="1"/>
  <c r="A102" i="4"/>
  <c r="B102" i="4" s="1"/>
  <c r="A100" i="4"/>
  <c r="B100" i="4" s="1"/>
  <c r="A99" i="4"/>
  <c r="B99" i="4" s="1"/>
  <c r="A98" i="4"/>
  <c r="B98" i="4" s="1"/>
  <c r="A97" i="4"/>
  <c r="B97" i="4" s="1"/>
  <c r="A96" i="4"/>
  <c r="B96" i="4" s="1"/>
  <c r="A95" i="4"/>
  <c r="B95" i="4" s="1"/>
  <c r="A94" i="4"/>
  <c r="B94" i="4" s="1"/>
  <c r="A93" i="4"/>
  <c r="B93" i="4" s="1"/>
  <c r="A92" i="4"/>
  <c r="B92" i="4" s="1"/>
  <c r="A91" i="4"/>
  <c r="B91" i="4" s="1"/>
  <c r="A90" i="4"/>
  <c r="B90" i="4" s="1"/>
  <c r="A89" i="4"/>
  <c r="B89" i="4" s="1"/>
  <c r="A88" i="4"/>
  <c r="B88" i="4" s="1"/>
  <c r="A87" i="4"/>
  <c r="B87" i="4" s="1"/>
  <c r="A86" i="4"/>
  <c r="B86" i="4" s="1"/>
  <c r="A84" i="4"/>
  <c r="B84" i="4" s="1"/>
  <c r="A83" i="4"/>
  <c r="B83" i="4" s="1"/>
  <c r="A82" i="4"/>
  <c r="B82" i="4" s="1"/>
  <c r="A81" i="4"/>
  <c r="B81" i="4" s="1"/>
  <c r="A80" i="4"/>
  <c r="B80" i="4" s="1"/>
  <c r="A79" i="4"/>
  <c r="B79" i="4" s="1"/>
  <c r="A78" i="4"/>
  <c r="B78" i="4" s="1"/>
  <c r="A77" i="4"/>
  <c r="B77" i="4" s="1"/>
  <c r="A76" i="4"/>
  <c r="B76" i="4" s="1"/>
  <c r="A75" i="4"/>
  <c r="B75" i="4" s="1"/>
  <c r="A74" i="4"/>
  <c r="B74" i="4" s="1"/>
  <c r="A73" i="4"/>
  <c r="B73" i="4" s="1"/>
  <c r="A72" i="4"/>
  <c r="B72" i="4" s="1"/>
  <c r="A71" i="4"/>
  <c r="B71" i="4" s="1"/>
  <c r="A70" i="4"/>
  <c r="B70" i="4" s="1"/>
  <c r="A68" i="4"/>
  <c r="B68" i="4" s="1"/>
  <c r="A67" i="4"/>
  <c r="B67" i="4" s="1"/>
  <c r="A66" i="4"/>
  <c r="B66" i="4" s="1"/>
  <c r="A65" i="4"/>
  <c r="B65" i="4" s="1"/>
  <c r="A64" i="4"/>
  <c r="B64" i="4" s="1"/>
  <c r="A63" i="4"/>
  <c r="B63" i="4" s="1"/>
  <c r="A62" i="4"/>
  <c r="B62" i="4" s="1"/>
  <c r="A61" i="4"/>
  <c r="B61" i="4" s="1"/>
  <c r="A60" i="4"/>
  <c r="B60" i="4" s="1"/>
  <c r="A59" i="4"/>
  <c r="B59" i="4" s="1"/>
  <c r="A58" i="4"/>
  <c r="B58" i="4" s="1"/>
  <c r="A57" i="4"/>
  <c r="B57" i="4" s="1"/>
  <c r="A56" i="4"/>
  <c r="B56" i="4" s="1"/>
  <c r="A55" i="4"/>
  <c r="B55" i="4" s="1"/>
  <c r="A54" i="4"/>
  <c r="B54" i="4" s="1"/>
  <c r="A52" i="4"/>
  <c r="B52" i="4" s="1"/>
  <c r="A51" i="4"/>
  <c r="B51" i="4" s="1"/>
  <c r="A50" i="4"/>
  <c r="B50" i="4" s="1"/>
  <c r="A49" i="4"/>
  <c r="B49" i="4" s="1"/>
  <c r="A48" i="4"/>
  <c r="B48" i="4" s="1"/>
  <c r="A47" i="4"/>
  <c r="B47" i="4" s="1"/>
  <c r="A46" i="4"/>
  <c r="B46" i="4" s="1"/>
  <c r="A45" i="4"/>
  <c r="B45" i="4" s="1"/>
  <c r="A44" i="4"/>
  <c r="B44" i="4" s="1"/>
  <c r="A43" i="4"/>
  <c r="B43" i="4" s="1"/>
  <c r="A42" i="4"/>
  <c r="B42" i="4" s="1"/>
  <c r="A41" i="4"/>
  <c r="B41" i="4" s="1"/>
  <c r="A40" i="4"/>
  <c r="B40" i="4" s="1"/>
  <c r="A39" i="4"/>
  <c r="B39" i="4" s="1"/>
  <c r="A38" i="4"/>
  <c r="B38" i="4" s="1"/>
  <c r="A36" i="4"/>
  <c r="B36" i="4" s="1"/>
  <c r="A35" i="4"/>
  <c r="B35" i="4" s="1"/>
  <c r="A34" i="4"/>
  <c r="B34" i="4" s="1"/>
  <c r="A33" i="4"/>
  <c r="B33" i="4" s="1"/>
  <c r="A32" i="4"/>
  <c r="B32" i="4" s="1"/>
  <c r="A31" i="4"/>
  <c r="B31" i="4" s="1"/>
  <c r="A30" i="4"/>
  <c r="B30" i="4" s="1"/>
  <c r="A29" i="4"/>
  <c r="B29" i="4" s="1"/>
  <c r="A28" i="4"/>
  <c r="B28" i="4" s="1"/>
  <c r="A27" i="4"/>
  <c r="B27" i="4" s="1"/>
  <c r="A26" i="4"/>
  <c r="B26" i="4" s="1"/>
  <c r="A25" i="4"/>
  <c r="B25" i="4" s="1"/>
  <c r="A24" i="4"/>
  <c r="B24" i="4" s="1"/>
  <c r="A23" i="4"/>
  <c r="B23" i="4" s="1"/>
  <c r="A22" i="4"/>
  <c r="B22" i="4" s="1"/>
  <c r="A20" i="4"/>
  <c r="B20" i="4" s="1"/>
  <c r="A19" i="4"/>
  <c r="B19" i="4" s="1"/>
  <c r="A18" i="4"/>
  <c r="B18" i="4" s="1"/>
  <c r="A17" i="4"/>
  <c r="B17" i="4" s="1"/>
  <c r="A16" i="4"/>
  <c r="B16" i="4" s="1"/>
  <c r="A15" i="4"/>
  <c r="B15" i="4" s="1"/>
  <c r="A14" i="4"/>
  <c r="B14" i="4" s="1"/>
  <c r="A13" i="4"/>
  <c r="B13" i="4" s="1"/>
  <c r="A12" i="4"/>
  <c r="B12" i="4" s="1"/>
  <c r="A11" i="4"/>
  <c r="B11" i="4" s="1"/>
  <c r="A10" i="4"/>
  <c r="B10" i="4" s="1"/>
  <c r="A9" i="4"/>
  <c r="B9" i="4" s="1"/>
  <c r="A8" i="4"/>
  <c r="B8" i="4" s="1"/>
  <c r="A7" i="4"/>
  <c r="B7" i="4" s="1"/>
  <c r="A6" i="4"/>
  <c r="B6" i="4" s="1"/>
  <c r="M108" i="4"/>
  <c r="M107" i="4"/>
  <c r="M106" i="4"/>
  <c r="M105" i="4"/>
  <c r="M104" i="4"/>
  <c r="M103" i="4"/>
  <c r="M102" i="4"/>
  <c r="M101" i="4"/>
  <c r="M100" i="4"/>
  <c r="M99" i="4"/>
  <c r="M98" i="4"/>
  <c r="M97" i="4"/>
  <c r="M96" i="4"/>
  <c r="M95" i="4"/>
  <c r="M94" i="4"/>
  <c r="M93" i="4"/>
  <c r="M92" i="4"/>
  <c r="M91" i="4"/>
  <c r="M90" i="4"/>
  <c r="M89" i="4"/>
  <c r="M88" i="4"/>
  <c r="M87" i="4"/>
  <c r="M86" i="4"/>
  <c r="M85" i="4"/>
  <c r="M84" i="4"/>
  <c r="M83" i="4"/>
  <c r="M82" i="4"/>
  <c r="M81" i="4"/>
  <c r="M80" i="4"/>
  <c r="M79" i="4"/>
  <c r="M78" i="4"/>
  <c r="M77" i="4"/>
  <c r="M76" i="4"/>
  <c r="M75" i="4"/>
  <c r="M74" i="4"/>
  <c r="M73" i="4"/>
  <c r="M72" i="4"/>
  <c r="M71" i="4"/>
  <c r="M70" i="4"/>
  <c r="M69" i="4"/>
  <c r="M68" i="4"/>
  <c r="M67" i="4"/>
  <c r="M66" i="4"/>
  <c r="M65" i="4"/>
  <c r="M64" i="4"/>
  <c r="M63" i="4"/>
  <c r="M62" i="4"/>
  <c r="M61" i="4"/>
  <c r="M60" i="4"/>
  <c r="M59" i="4"/>
  <c r="M58" i="4"/>
  <c r="M57" i="4"/>
  <c r="M56" i="4"/>
  <c r="M55" i="4"/>
  <c r="M54" i="4"/>
  <c r="M53" i="4"/>
  <c r="M52" i="4"/>
  <c r="M51" i="4"/>
  <c r="M50" i="4"/>
  <c r="M49" i="4"/>
  <c r="M48" i="4"/>
  <c r="M47" i="4"/>
  <c r="M46" i="4"/>
  <c r="M45" i="4"/>
  <c r="M44" i="4"/>
  <c r="M43" i="4"/>
  <c r="M42" i="4"/>
  <c r="M41" i="4"/>
  <c r="M40" i="4"/>
  <c r="M39" i="4"/>
  <c r="M38" i="4"/>
  <c r="M37" i="4"/>
  <c r="M36" i="4"/>
  <c r="M35" i="4"/>
  <c r="M34" i="4"/>
  <c r="M33" i="4"/>
  <c r="M32" i="4"/>
  <c r="M31" i="4"/>
  <c r="M30" i="4"/>
  <c r="M29" i="4"/>
  <c r="M28" i="4"/>
  <c r="M27" i="4"/>
  <c r="M26" i="4"/>
  <c r="M25" i="4"/>
  <c r="M24" i="4"/>
  <c r="M23" i="4"/>
  <c r="M22" i="4"/>
  <c r="M21" i="4"/>
  <c r="M20" i="4"/>
  <c r="M19" i="4"/>
  <c r="M18" i="4"/>
  <c r="M17" i="4"/>
  <c r="M16" i="4"/>
  <c r="M15" i="4"/>
  <c r="M14" i="4"/>
  <c r="M13" i="4"/>
  <c r="M12" i="4"/>
  <c r="M11" i="4"/>
  <c r="M10" i="4"/>
  <c r="M9" i="4"/>
  <c r="M8" i="4"/>
  <c r="M7" i="4"/>
  <c r="M6" i="4"/>
  <c r="M5" i="4"/>
  <c r="M4" i="4"/>
  <c r="M3" i="4"/>
  <c r="M2" i="4"/>
  <c r="D40" i="9" l="1"/>
  <c r="D41" i="9"/>
  <c r="N42" i="9"/>
  <c r="I43" i="9"/>
  <c r="I26" i="9"/>
  <c r="N27" i="9"/>
  <c r="I10" i="9"/>
  <c r="D11" i="9"/>
  <c r="D42" i="9"/>
  <c r="N43" i="9"/>
  <c r="I44" i="9"/>
  <c r="I27" i="9"/>
  <c r="N28" i="9"/>
  <c r="I11" i="9"/>
  <c r="D12" i="9"/>
  <c r="D43" i="9"/>
  <c r="N44" i="9"/>
  <c r="I45" i="9"/>
  <c r="I28" i="9"/>
  <c r="N29" i="9"/>
  <c r="I12" i="9"/>
  <c r="D13" i="9"/>
  <c r="D44" i="9"/>
  <c r="N45" i="9"/>
  <c r="I46" i="9"/>
  <c r="I29" i="9"/>
  <c r="N30" i="9"/>
  <c r="I13" i="9"/>
  <c r="D14" i="9"/>
  <c r="D45" i="9"/>
  <c r="N46" i="9"/>
  <c r="I47" i="9"/>
  <c r="I30" i="9"/>
  <c r="N31" i="9"/>
  <c r="I14" i="9"/>
  <c r="D15" i="9"/>
  <c r="D46" i="9"/>
  <c r="N47" i="9"/>
  <c r="I48" i="9"/>
  <c r="I31" i="9"/>
  <c r="N32" i="9"/>
  <c r="I15" i="9"/>
  <c r="D16" i="9"/>
  <c r="D47" i="9"/>
  <c r="N48" i="9"/>
  <c r="I49" i="9"/>
  <c r="I32" i="9"/>
  <c r="N33" i="9"/>
  <c r="I16" i="9"/>
  <c r="D17" i="9"/>
  <c r="D48" i="9"/>
  <c r="N49" i="9"/>
  <c r="I50" i="9"/>
  <c r="I33" i="9"/>
  <c r="N34" i="9"/>
  <c r="I17" i="9"/>
  <c r="D18" i="9"/>
  <c r="D49" i="9"/>
  <c r="N50" i="9"/>
  <c r="I51" i="9"/>
  <c r="I34" i="9"/>
  <c r="N35" i="9"/>
  <c r="I18" i="9"/>
  <c r="D50" i="9"/>
  <c r="N51" i="9"/>
  <c r="I52" i="9"/>
  <c r="I35" i="9"/>
  <c r="N36" i="9"/>
  <c r="D4" i="9"/>
  <c r="D51" i="9"/>
  <c r="N52" i="9"/>
  <c r="I53" i="9"/>
  <c r="I36" i="9"/>
  <c r="I4" i="9"/>
  <c r="D5" i="9"/>
  <c r="D52" i="9"/>
  <c r="N53" i="9"/>
  <c r="I54" i="9"/>
  <c r="N22" i="9"/>
  <c r="I5" i="9"/>
  <c r="D6" i="9"/>
  <c r="D53" i="9"/>
  <c r="N54" i="9"/>
  <c r="I22" i="9"/>
  <c r="N23" i="9"/>
  <c r="I6" i="9"/>
  <c r="D7" i="9"/>
  <c r="D54" i="9"/>
  <c r="I40" i="9"/>
  <c r="I23" i="9"/>
  <c r="N24" i="9"/>
  <c r="I7" i="9"/>
  <c r="D8" i="9"/>
  <c r="N40" i="9"/>
  <c r="I41" i="9"/>
  <c r="I24" i="9"/>
  <c r="N25" i="9"/>
  <c r="I8" i="9"/>
  <c r="D9" i="9"/>
  <c r="N41" i="9"/>
  <c r="I42" i="9"/>
  <c r="I25" i="9"/>
  <c r="N26" i="9"/>
  <c r="I9" i="9"/>
  <c r="D10" i="9"/>
  <c r="V201" i="7"/>
  <c r="V189" i="7"/>
  <c r="V180" i="7"/>
  <c r="V169" i="7"/>
  <c r="V200" i="7"/>
  <c r="V188" i="7"/>
  <c r="N164" i="5"/>
  <c r="V168" i="7"/>
  <c r="N163" i="5"/>
  <c r="V198" i="7"/>
  <c r="V187" i="7"/>
  <c r="V167" i="7"/>
  <c r="V197" i="7"/>
  <c r="N201" i="5"/>
  <c r="V175" i="7"/>
  <c r="V165" i="7"/>
  <c r="N192" i="5"/>
  <c r="V185" i="7"/>
  <c r="N191" i="5"/>
  <c r="V195" i="7"/>
  <c r="V174" i="7"/>
  <c r="V164" i="7"/>
  <c r="N190" i="5"/>
  <c r="V184" i="7"/>
  <c r="N185" i="5"/>
  <c r="V173" i="7"/>
  <c r="V183" i="7"/>
  <c r="V162" i="7"/>
  <c r="N183" i="5"/>
  <c r="N181" i="5"/>
  <c r="N180" i="5"/>
  <c r="V181" i="7"/>
  <c r="N169" i="5"/>
  <c r="N167" i="5"/>
  <c r="N184" i="5"/>
  <c r="N174" i="5"/>
  <c r="N197" i="5"/>
  <c r="N168" i="5"/>
  <c r="N186" i="5"/>
  <c r="N175" i="5"/>
  <c r="N179" i="5"/>
  <c r="N196" i="5"/>
  <c r="N199" i="5"/>
  <c r="N162" i="5"/>
  <c r="N200" i="5"/>
  <c r="N173" i="5"/>
  <c r="N106" i="5"/>
  <c r="N146" i="5"/>
  <c r="V177" i="7"/>
  <c r="N111" i="5"/>
  <c r="N144" i="5"/>
  <c r="N189" i="5"/>
  <c r="N80" i="5"/>
  <c r="N46" i="5"/>
  <c r="N11" i="5"/>
  <c r="N91" i="5"/>
  <c r="N60" i="5"/>
  <c r="N139" i="5"/>
  <c r="N49" i="5"/>
  <c r="N113" i="5"/>
  <c r="N43" i="5"/>
  <c r="N99" i="5"/>
  <c r="N114" i="5"/>
  <c r="N53" i="5"/>
  <c r="N42" i="5"/>
  <c r="N61" i="5"/>
  <c r="N132" i="5"/>
  <c r="N41" i="5"/>
  <c r="N65" i="5"/>
  <c r="N69" i="5"/>
  <c r="N34" i="5"/>
  <c r="N187" i="5"/>
  <c r="N15" i="5"/>
  <c r="N93" i="5"/>
  <c r="N39" i="5"/>
  <c r="N152" i="5"/>
  <c r="N121" i="5"/>
  <c r="N171" i="5"/>
  <c r="N78" i="5"/>
  <c r="N10" i="5"/>
  <c r="N64" i="5"/>
  <c r="N151" i="5"/>
  <c r="N103" i="5"/>
  <c r="N122" i="5"/>
  <c r="N8" i="5"/>
  <c r="N70" i="5"/>
  <c r="N107" i="5"/>
  <c r="N198" i="5"/>
  <c r="N147" i="5"/>
  <c r="N45" i="5"/>
  <c r="N153" i="5"/>
  <c r="N118" i="5"/>
  <c r="V186" i="7"/>
  <c r="N172" i="5"/>
  <c r="N74" i="5"/>
  <c r="N7" i="5"/>
  <c r="N68" i="5"/>
  <c r="N156" i="5"/>
  <c r="N137" i="5"/>
  <c r="N6" i="5"/>
  <c r="N76" i="5"/>
  <c r="N100" i="5"/>
  <c r="N29" i="5"/>
  <c r="N96" i="5"/>
  <c r="N89" i="5"/>
  <c r="N194" i="5"/>
  <c r="V166" i="7"/>
  <c r="N149" i="5"/>
  <c r="N82" i="5"/>
  <c r="N150" i="5"/>
  <c r="N2" i="5"/>
  <c r="L3" i="3" s="1"/>
  <c r="N77" i="5"/>
  <c r="N136" i="5"/>
  <c r="N50" i="5"/>
  <c r="N160" i="5"/>
  <c r="N148" i="5"/>
  <c r="V170" i="7"/>
  <c r="N176" i="5"/>
  <c r="N71" i="5"/>
  <c r="N38" i="5"/>
  <c r="N5" i="5"/>
  <c r="N117" i="5"/>
  <c r="N84" i="5"/>
  <c r="N166" i="5"/>
  <c r="N73" i="5"/>
  <c r="N72" i="5"/>
  <c r="N158" i="5"/>
  <c r="N133" i="5"/>
  <c r="N195" i="5"/>
  <c r="N88" i="5"/>
  <c r="N63" i="5"/>
  <c r="N135" i="5"/>
  <c r="N55" i="5"/>
  <c r="N48" i="5"/>
  <c r="N126" i="5"/>
  <c r="N131" i="5"/>
  <c r="N182" i="5"/>
  <c r="N154" i="5"/>
  <c r="N85" i="5"/>
  <c r="N87" i="5"/>
  <c r="N141" i="5"/>
  <c r="N127" i="5"/>
  <c r="V191" i="7"/>
  <c r="V194" i="7"/>
  <c r="N178" i="5"/>
  <c r="N66" i="5"/>
  <c r="N30" i="5"/>
  <c r="N3" i="5"/>
  <c r="N134" i="5"/>
  <c r="N92" i="5"/>
  <c r="N16" i="5"/>
  <c r="N81" i="5"/>
  <c r="N102" i="5"/>
  <c r="N33" i="5"/>
  <c r="N159" i="5"/>
  <c r="V196" i="7"/>
  <c r="N165" i="5"/>
  <c r="N115" i="5"/>
  <c r="N124" i="5"/>
  <c r="V190" i="7"/>
  <c r="N98" i="5"/>
  <c r="N62" i="5"/>
  <c r="N28" i="5"/>
  <c r="N27" i="5"/>
  <c r="N4" i="5"/>
  <c r="N108" i="5"/>
  <c r="N40" i="5"/>
  <c r="N14" i="5"/>
  <c r="N112" i="5"/>
  <c r="N120" i="5"/>
  <c r="N143" i="5"/>
  <c r="V172" i="7"/>
  <c r="V192" i="7"/>
  <c r="N95" i="5"/>
  <c r="N58" i="5"/>
  <c r="N26" i="5"/>
  <c r="N35" i="5"/>
  <c r="N12" i="5"/>
  <c r="N161" i="5"/>
  <c r="N9" i="5"/>
  <c r="N97" i="5"/>
  <c r="V182" i="7"/>
  <c r="N94" i="5"/>
  <c r="N23" i="5"/>
  <c r="N51" i="5"/>
  <c r="N177" i="5"/>
  <c r="N101" i="5"/>
  <c r="N75" i="5"/>
  <c r="N157" i="5"/>
  <c r="N110" i="5"/>
  <c r="N119" i="5"/>
  <c r="N104" i="5"/>
  <c r="V176" i="7"/>
  <c r="V179" i="7"/>
  <c r="N57" i="5"/>
  <c r="N20" i="5"/>
  <c r="N13" i="5"/>
  <c r="N24" i="5"/>
  <c r="N130" i="5"/>
  <c r="N129" i="5"/>
  <c r="N145" i="5"/>
  <c r="V171" i="7"/>
  <c r="N90" i="5"/>
  <c r="N56" i="5"/>
  <c r="N22" i="5"/>
  <c r="N59" i="5"/>
  <c r="N32" i="5"/>
  <c r="N193" i="5"/>
  <c r="N21" i="5"/>
  <c r="N105" i="5"/>
  <c r="N155" i="5"/>
  <c r="N116" i="5"/>
  <c r="N138" i="5"/>
  <c r="N125" i="5"/>
  <c r="V178" i="7"/>
  <c r="V163" i="7"/>
  <c r="V199" i="7"/>
  <c r="N54" i="5"/>
  <c r="N67" i="5"/>
  <c r="N31" i="5"/>
  <c r="N109" i="5"/>
  <c r="N142" i="5"/>
  <c r="N86" i="5"/>
  <c r="N19" i="5"/>
  <c r="N36" i="5"/>
  <c r="N25" i="5"/>
  <c r="N140" i="5"/>
  <c r="N18" i="5"/>
  <c r="N170" i="5"/>
  <c r="N128" i="5"/>
  <c r="V193" i="7"/>
  <c r="N188" i="5"/>
  <c r="N83" i="5"/>
  <c r="N52" i="5"/>
  <c r="N17" i="5"/>
  <c r="N79" i="5"/>
  <c r="N44" i="5"/>
  <c r="N47" i="5"/>
  <c r="N37" i="5"/>
  <c r="N123" i="5"/>
  <c r="B2" i="4"/>
  <c r="F185" i="7"/>
  <c r="F201" i="7"/>
  <c r="D169" i="7"/>
  <c r="D185" i="7"/>
  <c r="D201" i="7"/>
  <c r="D188" i="7"/>
  <c r="C188" i="7"/>
  <c r="G82" i="7"/>
  <c r="C191" i="7"/>
  <c r="G146" i="7"/>
  <c r="G199" i="7"/>
  <c r="F29" i="7"/>
  <c r="F57" i="7"/>
  <c r="F79" i="7"/>
  <c r="F103" i="7"/>
  <c r="F125" i="7"/>
  <c r="F147" i="7"/>
  <c r="F168" i="7"/>
  <c r="F184" i="7"/>
  <c r="F200" i="7"/>
  <c r="E16" i="7"/>
  <c r="E32" i="7"/>
  <c r="E48" i="7"/>
  <c r="E64" i="7"/>
  <c r="E80" i="7"/>
  <c r="E96" i="7"/>
  <c r="E112" i="7"/>
  <c r="E128" i="7"/>
  <c r="E160" i="7"/>
  <c r="D56" i="7"/>
  <c r="C112" i="7"/>
  <c r="D72" i="7"/>
  <c r="C128" i="7"/>
  <c r="D88" i="7"/>
  <c r="C144" i="7"/>
  <c r="D104" i="7"/>
  <c r="C160" i="7"/>
  <c r="D120" i="7"/>
  <c r="C176" i="7"/>
  <c r="D136" i="7"/>
  <c r="C192" i="7"/>
  <c r="D152" i="7"/>
  <c r="D168" i="7"/>
  <c r="D184" i="7"/>
  <c r="D200" i="7"/>
  <c r="E144" i="7"/>
  <c r="C16" i="7"/>
  <c r="E176" i="7"/>
  <c r="C32" i="7"/>
  <c r="E192" i="7"/>
  <c r="C48" i="7"/>
  <c r="D8" i="7"/>
  <c r="C64" i="7"/>
  <c r="D24" i="7"/>
  <c r="C80" i="7"/>
  <c r="D40" i="7"/>
  <c r="C96" i="7"/>
  <c r="D30" i="7"/>
  <c r="F175" i="7"/>
  <c r="F177" i="7"/>
  <c r="C129" i="7"/>
  <c r="F145" i="7"/>
  <c r="F97" i="7"/>
  <c r="D102" i="7"/>
  <c r="F33" i="7"/>
  <c r="E73" i="7"/>
  <c r="E186" i="7"/>
  <c r="E171" i="7"/>
  <c r="F130" i="7"/>
  <c r="C127" i="7"/>
  <c r="D23" i="7"/>
  <c r="F77" i="7"/>
  <c r="G115" i="7"/>
  <c r="D182" i="7"/>
  <c r="F99" i="7"/>
  <c r="C93" i="7"/>
  <c r="E109" i="7"/>
  <c r="C108" i="7"/>
  <c r="D52" i="7"/>
  <c r="F25" i="7"/>
  <c r="G198" i="7"/>
  <c r="D195" i="7"/>
  <c r="F195" i="7"/>
  <c r="C122" i="7"/>
  <c r="D66" i="7"/>
  <c r="G53" i="7"/>
  <c r="G184" i="7"/>
  <c r="C121" i="7"/>
  <c r="G9" i="7"/>
  <c r="C72" i="7"/>
  <c r="E136" i="7"/>
  <c r="C71" i="7"/>
  <c r="E135" i="7"/>
  <c r="G11" i="7"/>
  <c r="E198" i="7"/>
  <c r="F89" i="7"/>
  <c r="G60" i="7"/>
  <c r="C133" i="7"/>
  <c r="E149" i="7"/>
  <c r="G164" i="7"/>
  <c r="C100" i="7"/>
  <c r="D28" i="7"/>
  <c r="F172" i="7"/>
  <c r="G190" i="7"/>
  <c r="D155" i="7"/>
  <c r="E99" i="7"/>
  <c r="G21" i="7"/>
  <c r="G31" i="7"/>
  <c r="D186" i="7"/>
  <c r="E130" i="7"/>
  <c r="G85" i="7"/>
  <c r="G160" i="7"/>
  <c r="D137" i="7"/>
  <c r="F7" i="7"/>
  <c r="V144" i="3"/>
  <c r="V145" i="3"/>
  <c r="V162" i="3"/>
  <c r="V179" i="3"/>
  <c r="V150" i="3"/>
  <c r="D46" i="7"/>
  <c r="F191" i="7"/>
  <c r="G65" i="7"/>
  <c r="D177" i="7"/>
  <c r="F129" i="7"/>
  <c r="D118" i="7"/>
  <c r="D33" i="7"/>
  <c r="E89" i="7"/>
  <c r="E187" i="7"/>
  <c r="G18" i="7"/>
  <c r="C111" i="7"/>
  <c r="E191" i="7"/>
  <c r="F55" i="7"/>
  <c r="D166" i="7"/>
  <c r="F76" i="7"/>
  <c r="F68" i="7"/>
  <c r="C77" i="7"/>
  <c r="E93" i="7"/>
  <c r="C92" i="7"/>
  <c r="D36" i="7"/>
  <c r="G194" i="7"/>
  <c r="D179" i="7"/>
  <c r="F179" i="7"/>
  <c r="C106" i="7"/>
  <c r="D50" i="7"/>
  <c r="C105" i="7"/>
  <c r="G121" i="7"/>
  <c r="C56" i="7"/>
  <c r="E120" i="7"/>
  <c r="G106" i="7"/>
  <c r="C55" i="7"/>
  <c r="E119" i="7"/>
  <c r="G123" i="7"/>
  <c r="C198" i="7"/>
  <c r="E182" i="7"/>
  <c r="F41" i="7"/>
  <c r="G172" i="7"/>
  <c r="C117" i="7"/>
  <c r="E133" i="7"/>
  <c r="G100" i="7"/>
  <c r="G29" i="7"/>
  <c r="G93" i="7"/>
  <c r="G157" i="7"/>
  <c r="C84" i="7"/>
  <c r="D12" i="7"/>
  <c r="F153" i="7"/>
  <c r="C195" i="7"/>
  <c r="D139" i="7"/>
  <c r="E83" i="7"/>
  <c r="D170" i="7"/>
  <c r="E114" i="7"/>
  <c r="G7" i="7"/>
  <c r="G16" i="7"/>
  <c r="D121" i="7"/>
  <c r="G148" i="7"/>
  <c r="V129" i="3"/>
  <c r="V132" i="3"/>
  <c r="V198" i="3"/>
  <c r="V139" i="3"/>
  <c r="D62" i="7"/>
  <c r="E65" i="7"/>
  <c r="D129" i="7"/>
  <c r="D134" i="7"/>
  <c r="D7" i="7"/>
  <c r="E105" i="7"/>
  <c r="E57" i="7"/>
  <c r="E41" i="7"/>
  <c r="F98" i="7"/>
  <c r="C95" i="7"/>
  <c r="E175" i="7"/>
  <c r="F28" i="7"/>
  <c r="G83" i="7"/>
  <c r="E190" i="7"/>
  <c r="F51" i="7"/>
  <c r="F4" i="7"/>
  <c r="F36" i="7"/>
  <c r="C61" i="7"/>
  <c r="E77" i="7"/>
  <c r="F37" i="7"/>
  <c r="C76" i="7"/>
  <c r="D20" i="7"/>
  <c r="G130" i="7"/>
  <c r="G6" i="7"/>
  <c r="G38" i="7"/>
  <c r="G70" i="7"/>
  <c r="G102" i="7"/>
  <c r="G134" i="7"/>
  <c r="G166" i="7"/>
  <c r="D163" i="7"/>
  <c r="F119" i="7"/>
  <c r="C90" i="7"/>
  <c r="D34" i="7"/>
  <c r="G152" i="7"/>
  <c r="C89" i="7"/>
  <c r="C40" i="7"/>
  <c r="E104" i="7"/>
  <c r="C39" i="7"/>
  <c r="E103" i="7"/>
  <c r="C182" i="7"/>
  <c r="E166" i="7"/>
  <c r="F13" i="7"/>
  <c r="G28" i="7"/>
  <c r="C101" i="7"/>
  <c r="E117" i="7"/>
  <c r="G34" i="7"/>
  <c r="C68" i="7"/>
  <c r="E196" i="7"/>
  <c r="F131" i="7"/>
  <c r="G30" i="7"/>
  <c r="G62" i="7"/>
  <c r="G94" i="7"/>
  <c r="G126" i="7"/>
  <c r="G158" i="7"/>
  <c r="C179" i="7"/>
  <c r="D123" i="7"/>
  <c r="E67" i="7"/>
  <c r="G191" i="7"/>
  <c r="D154" i="7"/>
  <c r="E98" i="7"/>
  <c r="G128" i="7"/>
  <c r="D105" i="7"/>
  <c r="G84" i="7"/>
  <c r="V180" i="3"/>
  <c r="V197" i="3"/>
  <c r="V151" i="3"/>
  <c r="V137" i="3"/>
  <c r="V187" i="3"/>
  <c r="D110" i="7"/>
  <c r="F16" i="7"/>
  <c r="C65" i="7"/>
  <c r="G17" i="7"/>
  <c r="G196" i="7"/>
  <c r="D5" i="7"/>
  <c r="D150" i="7"/>
  <c r="F23" i="7"/>
  <c r="E121" i="7"/>
  <c r="E25" i="7"/>
  <c r="E42" i="7"/>
  <c r="E74" i="7"/>
  <c r="C79" i="7"/>
  <c r="E159" i="7"/>
  <c r="G197" i="7"/>
  <c r="C190" i="7"/>
  <c r="E174" i="7"/>
  <c r="F27" i="7"/>
  <c r="C45" i="7"/>
  <c r="E61" i="7"/>
  <c r="C60" i="7"/>
  <c r="D4" i="7"/>
  <c r="G66" i="7"/>
  <c r="D147" i="7"/>
  <c r="F95" i="7"/>
  <c r="C74" i="7"/>
  <c r="D18" i="7"/>
  <c r="G24" i="7"/>
  <c r="G56" i="7"/>
  <c r="G88" i="7"/>
  <c r="G120" i="7"/>
  <c r="C73" i="7"/>
  <c r="G89" i="7"/>
  <c r="C24" i="7"/>
  <c r="E88" i="7"/>
  <c r="G74" i="7"/>
  <c r="C23" i="7"/>
  <c r="E87" i="7"/>
  <c r="G91" i="7"/>
  <c r="C166" i="7"/>
  <c r="E150" i="7"/>
  <c r="G165" i="7"/>
  <c r="G140" i="7"/>
  <c r="C85" i="7"/>
  <c r="E101" i="7"/>
  <c r="C52" i="7"/>
  <c r="E180" i="7"/>
  <c r="F108" i="7"/>
  <c r="C163" i="7"/>
  <c r="D107" i="7"/>
  <c r="E51" i="7"/>
  <c r="G143" i="7"/>
  <c r="C194" i="7"/>
  <c r="D138" i="7"/>
  <c r="E82" i="7"/>
  <c r="D89" i="7"/>
  <c r="G5" i="7"/>
  <c r="V199" i="3"/>
  <c r="V122" i="3"/>
  <c r="D126" i="7"/>
  <c r="F32" i="7"/>
  <c r="F65" i="7"/>
  <c r="E17" i="7"/>
  <c r="D14" i="7"/>
  <c r="D21" i="7"/>
  <c r="G113" i="7"/>
  <c r="F166" i="7"/>
  <c r="D39" i="7"/>
  <c r="E137" i="7"/>
  <c r="E10" i="7"/>
  <c r="E12" i="7"/>
  <c r="D13" i="7"/>
  <c r="F66" i="7"/>
  <c r="C63" i="7"/>
  <c r="E143" i="7"/>
  <c r="G135" i="7"/>
  <c r="G51" i="7"/>
  <c r="C174" i="7"/>
  <c r="E158" i="7"/>
  <c r="G133" i="7"/>
  <c r="F148" i="7"/>
  <c r="C29" i="7"/>
  <c r="E45" i="7"/>
  <c r="C44" i="7"/>
  <c r="E156" i="7"/>
  <c r="C187" i="7"/>
  <c r="D131" i="7"/>
  <c r="F73" i="7"/>
  <c r="C58" i="7"/>
  <c r="D2" i="7"/>
  <c r="C57" i="7"/>
  <c r="G201" i="7"/>
  <c r="C8" i="7"/>
  <c r="E72" i="7"/>
  <c r="G186" i="7"/>
  <c r="C7" i="7"/>
  <c r="E71" i="7"/>
  <c r="C150" i="7"/>
  <c r="E134" i="7"/>
  <c r="G101" i="7"/>
  <c r="C69" i="7"/>
  <c r="E85" i="7"/>
  <c r="C36" i="7"/>
  <c r="E164" i="7"/>
  <c r="F85" i="7"/>
  <c r="C147" i="7"/>
  <c r="D91" i="7"/>
  <c r="E35" i="7"/>
  <c r="G95" i="7"/>
  <c r="C178" i="7"/>
  <c r="D122" i="7"/>
  <c r="E66" i="7"/>
  <c r="G96" i="7"/>
  <c r="D73" i="7"/>
  <c r="V128" i="3"/>
  <c r="V192" i="3"/>
  <c r="V115" i="3"/>
  <c r="V152" i="3"/>
  <c r="V170" i="3"/>
  <c r="V156" i="3"/>
  <c r="V157" i="3"/>
  <c r="V142" i="3"/>
  <c r="V190" i="3"/>
  <c r="D142" i="7"/>
  <c r="D48" i="7"/>
  <c r="D65" i="7"/>
  <c r="C17" i="7"/>
  <c r="D78" i="7"/>
  <c r="D37" i="7"/>
  <c r="E113" i="7"/>
  <c r="F182" i="7"/>
  <c r="G55" i="7"/>
  <c r="E153" i="7"/>
  <c r="E58" i="7"/>
  <c r="E28" i="7"/>
  <c r="D29" i="7"/>
  <c r="C47" i="7"/>
  <c r="E127" i="7"/>
  <c r="G163" i="7"/>
  <c r="C158" i="7"/>
  <c r="E142" i="7"/>
  <c r="G69" i="7"/>
  <c r="G4" i="7"/>
  <c r="G36" i="7"/>
  <c r="C13" i="7"/>
  <c r="E29" i="7"/>
  <c r="C28" i="7"/>
  <c r="E140" i="7"/>
  <c r="C171" i="7"/>
  <c r="D115" i="7"/>
  <c r="F47" i="7"/>
  <c r="C42" i="7"/>
  <c r="E138" i="7"/>
  <c r="C41" i="7"/>
  <c r="G57" i="7"/>
  <c r="D192" i="7"/>
  <c r="E56" i="7"/>
  <c r="G42" i="7"/>
  <c r="D191" i="7"/>
  <c r="E55" i="7"/>
  <c r="G59" i="7"/>
  <c r="C134" i="7"/>
  <c r="E118" i="7"/>
  <c r="G37" i="7"/>
  <c r="G108" i="7"/>
  <c r="C53" i="7"/>
  <c r="E69" i="7"/>
  <c r="G45" i="7"/>
  <c r="G109" i="7"/>
  <c r="G173" i="7"/>
  <c r="C20" i="7"/>
  <c r="E148" i="7"/>
  <c r="F61" i="7"/>
  <c r="C131" i="7"/>
  <c r="D75" i="7"/>
  <c r="E19" i="7"/>
  <c r="G47" i="7"/>
  <c r="C162" i="7"/>
  <c r="D106" i="7"/>
  <c r="E50" i="7"/>
  <c r="D57" i="7"/>
  <c r="V146" i="3"/>
  <c r="V163" i="3"/>
  <c r="V134" i="3"/>
  <c r="V200" i="3"/>
  <c r="V121" i="3"/>
  <c r="V169" i="3"/>
  <c r="D158" i="7"/>
  <c r="F64" i="7"/>
  <c r="G49" i="7"/>
  <c r="F17" i="7"/>
  <c r="D53" i="7"/>
  <c r="C113" i="7"/>
  <c r="F198" i="7"/>
  <c r="G71" i="7"/>
  <c r="E169" i="7"/>
  <c r="E11" i="7"/>
  <c r="F44" i="7"/>
  <c r="D45" i="7"/>
  <c r="F2" i="7"/>
  <c r="F34" i="7"/>
  <c r="C31" i="7"/>
  <c r="E111" i="7"/>
  <c r="G19" i="7"/>
  <c r="C142" i="7"/>
  <c r="E126" i="7"/>
  <c r="F116" i="7"/>
  <c r="D197" i="7"/>
  <c r="E13" i="7"/>
  <c r="C12" i="7"/>
  <c r="E92" i="7"/>
  <c r="F6" i="7"/>
  <c r="F38" i="7"/>
  <c r="F70" i="7"/>
  <c r="F102" i="7"/>
  <c r="F134" i="7"/>
  <c r="C155" i="7"/>
  <c r="D99" i="7"/>
  <c r="C26" i="7"/>
  <c r="F194" i="7"/>
  <c r="C25" i="7"/>
  <c r="G169" i="7"/>
  <c r="D176" i="7"/>
  <c r="E40" i="7"/>
  <c r="G154" i="7"/>
  <c r="D175" i="7"/>
  <c r="E39" i="7"/>
  <c r="G171" i="7"/>
  <c r="C118" i="7"/>
  <c r="E102" i="7"/>
  <c r="C37" i="7"/>
  <c r="E53" i="7"/>
  <c r="C4" i="7"/>
  <c r="E132" i="7"/>
  <c r="F35" i="7"/>
  <c r="C115" i="7"/>
  <c r="D59" i="7"/>
  <c r="E3" i="7"/>
  <c r="C146" i="7"/>
  <c r="D90" i="7"/>
  <c r="E34" i="7"/>
  <c r="G64" i="7"/>
  <c r="D41" i="7"/>
  <c r="V113" i="3"/>
  <c r="V194" i="3"/>
  <c r="V116" i="3"/>
  <c r="V182" i="3"/>
  <c r="V123" i="3"/>
  <c r="F174" i="7"/>
  <c r="D80" i="7"/>
  <c r="E49" i="7"/>
  <c r="D17" i="7"/>
  <c r="D69" i="7"/>
  <c r="F113" i="7"/>
  <c r="D87" i="7"/>
  <c r="E185" i="7"/>
  <c r="E27" i="7"/>
  <c r="E60" i="7"/>
  <c r="D61" i="7"/>
  <c r="F146" i="7"/>
  <c r="C15" i="7"/>
  <c r="E95" i="7"/>
  <c r="G131" i="7"/>
  <c r="C126" i="7"/>
  <c r="E110" i="7"/>
  <c r="D181" i="7"/>
  <c r="F143" i="7"/>
  <c r="F53" i="7"/>
  <c r="D196" i="7"/>
  <c r="E44" i="7"/>
  <c r="C139" i="7"/>
  <c r="D83" i="7"/>
  <c r="C10" i="7"/>
  <c r="F178" i="7"/>
  <c r="F24" i="7"/>
  <c r="F56" i="7"/>
  <c r="F88" i="7"/>
  <c r="F120" i="7"/>
  <c r="G200" i="7"/>
  <c r="C9" i="7"/>
  <c r="G25" i="7"/>
  <c r="D128" i="7"/>
  <c r="E24" i="7"/>
  <c r="G10" i="7"/>
  <c r="D127" i="7"/>
  <c r="E23" i="7"/>
  <c r="G27" i="7"/>
  <c r="C102" i="7"/>
  <c r="E86" i="7"/>
  <c r="G76" i="7"/>
  <c r="C21" i="7"/>
  <c r="E37" i="7"/>
  <c r="D172" i="7"/>
  <c r="E116" i="7"/>
  <c r="F11" i="7"/>
  <c r="F14" i="7"/>
  <c r="F46" i="7"/>
  <c r="F78" i="7"/>
  <c r="F110" i="7"/>
  <c r="F142" i="7"/>
  <c r="C99" i="7"/>
  <c r="D43" i="7"/>
  <c r="F187" i="7"/>
  <c r="C130" i="7"/>
  <c r="D74" i="7"/>
  <c r="E18" i="7"/>
  <c r="G176" i="7"/>
  <c r="D25" i="7"/>
  <c r="V164" i="3"/>
  <c r="V135" i="3"/>
  <c r="V171" i="3"/>
  <c r="F190" i="7"/>
  <c r="D96" i="7"/>
  <c r="C49" i="7"/>
  <c r="G193" i="7"/>
  <c r="D85" i="7"/>
  <c r="D113" i="7"/>
  <c r="G81" i="7"/>
  <c r="G119" i="7"/>
  <c r="E201" i="7"/>
  <c r="F43" i="7"/>
  <c r="E76" i="7"/>
  <c r="D77" i="7"/>
  <c r="D199" i="7"/>
  <c r="E79" i="7"/>
  <c r="C110" i="7"/>
  <c r="E94" i="7"/>
  <c r="F84" i="7"/>
  <c r="D165" i="7"/>
  <c r="F122" i="7"/>
  <c r="F5" i="7"/>
  <c r="D180" i="7"/>
  <c r="F196" i="7"/>
  <c r="C123" i="7"/>
  <c r="D67" i="7"/>
  <c r="D194" i="7"/>
  <c r="F160" i="7"/>
  <c r="F159" i="7"/>
  <c r="G137" i="7"/>
  <c r="C200" i="7"/>
  <c r="D112" i="7"/>
  <c r="E8" i="7"/>
  <c r="G122" i="7"/>
  <c r="C199" i="7"/>
  <c r="D111" i="7"/>
  <c r="E7" i="7"/>
  <c r="G139" i="7"/>
  <c r="C86" i="7"/>
  <c r="E70" i="7"/>
  <c r="G188" i="7"/>
  <c r="C5" i="7"/>
  <c r="E21" i="7"/>
  <c r="D156" i="7"/>
  <c r="E100" i="7"/>
  <c r="G162" i="7"/>
  <c r="C83" i="7"/>
  <c r="D27" i="7"/>
  <c r="F171" i="7"/>
  <c r="G159" i="7"/>
  <c r="C114" i="7"/>
  <c r="D58" i="7"/>
  <c r="E2" i="7"/>
  <c r="G32" i="7"/>
  <c r="D9" i="7"/>
  <c r="V112" i="3"/>
  <c r="V161" i="3"/>
  <c r="V183" i="3"/>
  <c r="F15" i="7"/>
  <c r="F112" i="7"/>
  <c r="D49" i="7"/>
  <c r="E193" i="7"/>
  <c r="D101" i="7"/>
  <c r="E81" i="7"/>
  <c r="D151" i="7"/>
  <c r="E26" i="7"/>
  <c r="E59" i="7"/>
  <c r="F92" i="7"/>
  <c r="D93" i="7"/>
  <c r="G2" i="7"/>
  <c r="F114" i="7"/>
  <c r="D183" i="7"/>
  <c r="E63" i="7"/>
  <c r="G99" i="7"/>
  <c r="C94" i="7"/>
  <c r="E78" i="7"/>
  <c r="D133" i="7"/>
  <c r="F75" i="7"/>
  <c r="D164" i="7"/>
  <c r="F180" i="7"/>
  <c r="G182" i="7"/>
  <c r="C107" i="7"/>
  <c r="D51" i="7"/>
  <c r="D178" i="7"/>
  <c r="F117" i="7"/>
  <c r="G168" i="7"/>
  <c r="F115" i="7"/>
  <c r="C184" i="7"/>
  <c r="D64" i="7"/>
  <c r="F157" i="7"/>
  <c r="C183" i="7"/>
  <c r="D95" i="7"/>
  <c r="F136" i="7"/>
  <c r="C70" i="7"/>
  <c r="E54" i="7"/>
  <c r="G44" i="7"/>
  <c r="D189" i="7"/>
  <c r="E5" i="7"/>
  <c r="G61" i="7"/>
  <c r="G125" i="7"/>
  <c r="G189" i="7"/>
  <c r="D140" i="7"/>
  <c r="E84" i="7"/>
  <c r="G98" i="7"/>
  <c r="G174" i="7"/>
  <c r="C67" i="7"/>
  <c r="D11" i="7"/>
  <c r="F152" i="7"/>
  <c r="G111" i="7"/>
  <c r="C98" i="7"/>
  <c r="D42" i="7"/>
  <c r="F186" i="7"/>
  <c r="G144" i="7"/>
  <c r="F169" i="7"/>
  <c r="V133" i="3"/>
  <c r="V136" i="3"/>
  <c r="V154" i="3"/>
  <c r="V140" i="3"/>
  <c r="V141" i="3"/>
  <c r="D31" i="7"/>
  <c r="F128" i="7"/>
  <c r="F49" i="7"/>
  <c r="C193" i="7"/>
  <c r="D149" i="7"/>
  <c r="D6" i="7"/>
  <c r="C81" i="7"/>
  <c r="F167" i="7"/>
  <c r="E90" i="7"/>
  <c r="E75" i="7"/>
  <c r="E108" i="7"/>
  <c r="D141" i="7"/>
  <c r="D167" i="7"/>
  <c r="E47" i="7"/>
  <c r="C78" i="7"/>
  <c r="E62" i="7"/>
  <c r="F20" i="7"/>
  <c r="F52" i="7"/>
  <c r="C189" i="7"/>
  <c r="D117" i="7"/>
  <c r="F26" i="7"/>
  <c r="D148" i="7"/>
  <c r="F163" i="7"/>
  <c r="G22" i="7"/>
  <c r="G54" i="7"/>
  <c r="G86" i="7"/>
  <c r="G118" i="7"/>
  <c r="G150" i="7"/>
  <c r="C91" i="7"/>
  <c r="D35" i="7"/>
  <c r="D162" i="7"/>
  <c r="F93" i="7"/>
  <c r="F69" i="7"/>
  <c r="G105" i="7"/>
  <c r="C168" i="7"/>
  <c r="D32" i="7"/>
  <c r="F137" i="7"/>
  <c r="G90" i="7"/>
  <c r="C167" i="7"/>
  <c r="D63" i="7"/>
  <c r="F90" i="7"/>
  <c r="G107" i="7"/>
  <c r="C54" i="7"/>
  <c r="E38" i="7"/>
  <c r="G156" i="7"/>
  <c r="D173" i="7"/>
  <c r="F154" i="7"/>
  <c r="C196" i="7"/>
  <c r="D124" i="7"/>
  <c r="E68" i="7"/>
  <c r="G23" i="7"/>
  <c r="G14" i="7"/>
  <c r="G46" i="7"/>
  <c r="G78" i="7"/>
  <c r="G110" i="7"/>
  <c r="G142" i="7"/>
  <c r="C51" i="7"/>
  <c r="E195" i="7"/>
  <c r="F107" i="7"/>
  <c r="G63" i="7"/>
  <c r="C82" i="7"/>
  <c r="D26" i="7"/>
  <c r="F170" i="7"/>
  <c r="F149" i="7"/>
  <c r="V130" i="3"/>
  <c r="V147" i="3"/>
  <c r="V117" i="3"/>
  <c r="V118" i="3"/>
  <c r="V184" i="3"/>
  <c r="V153" i="3"/>
  <c r="V202" i="3"/>
  <c r="V188" i="3"/>
  <c r="D47" i="7"/>
  <c r="D144" i="7"/>
  <c r="F193" i="7"/>
  <c r="G161" i="7"/>
  <c r="F165" i="7"/>
  <c r="D22" i="7"/>
  <c r="F81" i="7"/>
  <c r="G183" i="7"/>
  <c r="E106" i="7"/>
  <c r="F91" i="7"/>
  <c r="E124" i="7"/>
  <c r="D157" i="7"/>
  <c r="F82" i="7"/>
  <c r="D135" i="7"/>
  <c r="E31" i="7"/>
  <c r="G67" i="7"/>
  <c r="C62" i="7"/>
  <c r="E46" i="7"/>
  <c r="F164" i="7"/>
  <c r="C173" i="7"/>
  <c r="E189" i="7"/>
  <c r="G195" i="7"/>
  <c r="D132" i="7"/>
  <c r="F141" i="7"/>
  <c r="C75" i="7"/>
  <c r="D19" i="7"/>
  <c r="D146" i="7"/>
  <c r="F71" i="7"/>
  <c r="G8" i="7"/>
  <c r="G40" i="7"/>
  <c r="G72" i="7"/>
  <c r="G104" i="7"/>
  <c r="G136" i="7"/>
  <c r="C201" i="7"/>
  <c r="G180" i="7"/>
  <c r="C152" i="7"/>
  <c r="D16" i="7"/>
  <c r="F67" i="7"/>
  <c r="C151" i="7"/>
  <c r="D15" i="7"/>
  <c r="F42" i="7"/>
  <c r="C38" i="7"/>
  <c r="E22" i="7"/>
  <c r="G12" i="7"/>
  <c r="D125" i="7"/>
  <c r="F133" i="7"/>
  <c r="C180" i="7"/>
  <c r="D108" i="7"/>
  <c r="E52" i="7"/>
  <c r="C35" i="7"/>
  <c r="E179" i="7"/>
  <c r="F83" i="7"/>
  <c r="G15" i="7"/>
  <c r="C66" i="7"/>
  <c r="D10" i="7"/>
  <c r="F151" i="7"/>
  <c r="G112" i="7"/>
  <c r="F127" i="7"/>
  <c r="V178" i="3"/>
  <c r="V195" i="3"/>
  <c r="V166" i="3"/>
  <c r="V201" i="3"/>
  <c r="F63" i="7"/>
  <c r="D160" i="7"/>
  <c r="G177" i="7"/>
  <c r="D193" i="7"/>
  <c r="G145" i="7"/>
  <c r="E161" i="7"/>
  <c r="G97" i="7"/>
  <c r="F181" i="7"/>
  <c r="D38" i="7"/>
  <c r="D81" i="7"/>
  <c r="F199" i="7"/>
  <c r="E122" i="7"/>
  <c r="E107" i="7"/>
  <c r="F140" i="7"/>
  <c r="F173" i="7"/>
  <c r="D119" i="7"/>
  <c r="E15" i="7"/>
  <c r="F3" i="7"/>
  <c r="G179" i="7"/>
  <c r="C46" i="7"/>
  <c r="E30" i="7"/>
  <c r="C157" i="7"/>
  <c r="E173" i="7"/>
  <c r="G132" i="7"/>
  <c r="C172" i="7"/>
  <c r="D116" i="7"/>
  <c r="F121" i="7"/>
  <c r="C59" i="7"/>
  <c r="D3" i="7"/>
  <c r="C186" i="7"/>
  <c r="D130" i="7"/>
  <c r="F45" i="7"/>
  <c r="C185" i="7"/>
  <c r="G116" i="7"/>
  <c r="G73" i="7"/>
  <c r="C136" i="7"/>
  <c r="E200" i="7"/>
  <c r="G178" i="7"/>
  <c r="G58" i="7"/>
  <c r="C135" i="7"/>
  <c r="E199" i="7"/>
  <c r="G167" i="7"/>
  <c r="G75" i="7"/>
  <c r="C22" i="7"/>
  <c r="E6" i="7"/>
  <c r="G124" i="7"/>
  <c r="C197" i="7"/>
  <c r="D109" i="7"/>
  <c r="F109" i="7"/>
  <c r="C164" i="7"/>
  <c r="D92" i="7"/>
  <c r="E36" i="7"/>
  <c r="C19" i="7"/>
  <c r="E163" i="7"/>
  <c r="F60" i="7"/>
  <c r="C50" i="7"/>
  <c r="E194" i="7"/>
  <c r="F106" i="7"/>
  <c r="F105" i="7"/>
  <c r="V160" i="3"/>
  <c r="V148" i="3"/>
  <c r="V119" i="3"/>
  <c r="V155" i="3"/>
  <c r="D79" i="7"/>
  <c r="F176" i="7"/>
  <c r="E177" i="7"/>
  <c r="E145" i="7"/>
  <c r="C161" i="7"/>
  <c r="E97" i="7"/>
  <c r="F197" i="7"/>
  <c r="D54" i="7"/>
  <c r="G33" i="7"/>
  <c r="F138" i="7"/>
  <c r="E123" i="7"/>
  <c r="F156" i="7"/>
  <c r="F189" i="7"/>
  <c r="F50" i="7"/>
  <c r="C175" i="7"/>
  <c r="D103" i="7"/>
  <c r="F183" i="7"/>
  <c r="G35" i="7"/>
  <c r="C30" i="7"/>
  <c r="E14" i="7"/>
  <c r="G20" i="7"/>
  <c r="F132" i="7"/>
  <c r="C141" i="7"/>
  <c r="E157" i="7"/>
  <c r="G68" i="7"/>
  <c r="F21" i="7"/>
  <c r="C156" i="7"/>
  <c r="D100" i="7"/>
  <c r="F96" i="7"/>
  <c r="C43" i="7"/>
  <c r="E139" i="7"/>
  <c r="C170" i="7"/>
  <c r="D114" i="7"/>
  <c r="F19" i="7"/>
  <c r="C169" i="7"/>
  <c r="G52" i="7"/>
  <c r="G185" i="7"/>
  <c r="C120" i="7"/>
  <c r="E184" i="7"/>
  <c r="G114" i="7"/>
  <c r="G170" i="7"/>
  <c r="C119" i="7"/>
  <c r="E183" i="7"/>
  <c r="G103" i="7"/>
  <c r="G187" i="7"/>
  <c r="C6" i="7"/>
  <c r="F155" i="7"/>
  <c r="C181" i="7"/>
  <c r="E197" i="7"/>
  <c r="F87" i="7"/>
  <c r="G13" i="7"/>
  <c r="G77" i="7"/>
  <c r="G141" i="7"/>
  <c r="C148" i="7"/>
  <c r="D76" i="7"/>
  <c r="E20" i="7"/>
  <c r="C3" i="7"/>
  <c r="E147" i="7"/>
  <c r="F10" i="7"/>
  <c r="G175" i="7"/>
  <c r="C34" i="7"/>
  <c r="E178" i="7"/>
  <c r="F59" i="7"/>
  <c r="G80" i="7"/>
  <c r="F80" i="7"/>
  <c r="V193" i="3"/>
  <c r="V196" i="3"/>
  <c r="V165" i="3"/>
  <c r="V181" i="3"/>
  <c r="V167" i="3"/>
  <c r="V185" i="3"/>
  <c r="D143" i="7"/>
  <c r="F192" i="7"/>
  <c r="C177" i="7"/>
  <c r="G129" i="7"/>
  <c r="C145" i="7"/>
  <c r="D161" i="7"/>
  <c r="C97" i="7"/>
  <c r="D70" i="7"/>
  <c r="E33" i="7"/>
  <c r="E154" i="7"/>
  <c r="F139" i="7"/>
  <c r="E172" i="7"/>
  <c r="F18" i="7"/>
  <c r="F162" i="7"/>
  <c r="C159" i="7"/>
  <c r="D71" i="7"/>
  <c r="F124" i="7"/>
  <c r="G147" i="7"/>
  <c r="C14" i="7"/>
  <c r="F144" i="7"/>
  <c r="C125" i="7"/>
  <c r="E141" i="7"/>
  <c r="C140" i="7"/>
  <c r="D84" i="7"/>
  <c r="F74" i="7"/>
  <c r="F22" i="7"/>
  <c r="F54" i="7"/>
  <c r="F86" i="7"/>
  <c r="F118" i="7"/>
  <c r="F150" i="7"/>
  <c r="C27" i="7"/>
  <c r="E91" i="7"/>
  <c r="C154" i="7"/>
  <c r="D98" i="7"/>
  <c r="G181" i="7"/>
  <c r="C153" i="7"/>
  <c r="G41" i="7"/>
  <c r="C104" i="7"/>
  <c r="E168" i="7"/>
  <c r="G50" i="7"/>
  <c r="G26" i="7"/>
  <c r="C103" i="7"/>
  <c r="E167" i="7"/>
  <c r="G39" i="7"/>
  <c r="G43" i="7"/>
  <c r="D190" i="7"/>
  <c r="F135" i="7"/>
  <c r="G92" i="7"/>
  <c r="C165" i="7"/>
  <c r="E181" i="7"/>
  <c r="F39" i="7"/>
  <c r="C132" i="7"/>
  <c r="D60" i="7"/>
  <c r="E4" i="7"/>
  <c r="D187" i="7"/>
  <c r="E131" i="7"/>
  <c r="G151" i="7"/>
  <c r="G127" i="7"/>
  <c r="C18" i="7"/>
  <c r="E162" i="7"/>
  <c r="F9" i="7"/>
  <c r="G192" i="7"/>
  <c r="F58" i="7"/>
  <c r="V176" i="3"/>
  <c r="V120" i="3"/>
  <c r="V138" i="3"/>
  <c r="V124" i="3"/>
  <c r="V125" i="3"/>
  <c r="D159" i="7"/>
  <c r="D94" i="7"/>
  <c r="E129" i="7"/>
  <c r="D145" i="7"/>
  <c r="F161" i="7"/>
  <c r="D97" i="7"/>
  <c r="D86" i="7"/>
  <c r="C33" i="7"/>
  <c r="E9" i="7"/>
  <c r="E170" i="7"/>
  <c r="E155" i="7"/>
  <c r="E188" i="7"/>
  <c r="C143" i="7"/>
  <c r="D55" i="7"/>
  <c r="F101" i="7"/>
  <c r="G3" i="7"/>
  <c r="D198" i="7"/>
  <c r="F123" i="7"/>
  <c r="F100" i="7"/>
  <c r="C109" i="7"/>
  <c r="E125" i="7"/>
  <c r="C124" i="7"/>
  <c r="D68" i="7"/>
  <c r="F48" i="7"/>
  <c r="G117" i="7"/>
  <c r="F126" i="7"/>
  <c r="V114" i="3"/>
  <c r="G153" i="7"/>
  <c r="V127" i="3"/>
  <c r="V177" i="3"/>
  <c r="F94" i="7"/>
  <c r="G48" i="7"/>
  <c r="F104" i="7"/>
  <c r="V172" i="3"/>
  <c r="C87" i="7"/>
  <c r="C116" i="7"/>
  <c r="V175" i="3"/>
  <c r="E151" i="7"/>
  <c r="D44" i="7"/>
  <c r="F62" i="7"/>
  <c r="C2" i="7"/>
  <c r="C11" i="7"/>
  <c r="F72" i="7"/>
  <c r="C88" i="7"/>
  <c r="F188" i="7"/>
  <c r="E146" i="7"/>
  <c r="V159" i="3"/>
  <c r="V111" i="3"/>
  <c r="E43" i="7"/>
  <c r="E152" i="7"/>
  <c r="C149" i="7"/>
  <c r="G149" i="7"/>
  <c r="C137" i="7"/>
  <c r="E165" i="7"/>
  <c r="F30" i="7"/>
  <c r="G79" i="7"/>
  <c r="F40" i="7"/>
  <c r="F12" i="7"/>
  <c r="D153" i="7"/>
  <c r="V131" i="3"/>
  <c r="V168" i="3"/>
  <c r="V126" i="3"/>
  <c r="V143" i="3"/>
  <c r="F31" i="7"/>
  <c r="V189" i="3"/>
  <c r="G87" i="7"/>
  <c r="V149" i="3"/>
  <c r="D171" i="7"/>
  <c r="F111" i="7"/>
  <c r="V186" i="3"/>
  <c r="V174" i="3"/>
  <c r="F8" i="7"/>
  <c r="G155" i="7"/>
  <c r="D174" i="7"/>
  <c r="F158" i="7"/>
  <c r="E115" i="7"/>
  <c r="V191" i="3"/>
  <c r="C138" i="7"/>
  <c r="D82" i="7"/>
  <c r="G138" i="7"/>
  <c r="V158" i="3"/>
  <c r="V173" i="3"/>
  <c r="V85" i="3"/>
  <c r="V4" i="3"/>
  <c r="V20" i="3"/>
  <c r="V36" i="3"/>
  <c r="V52" i="3"/>
  <c r="V68" i="3"/>
  <c r="V84" i="3"/>
  <c r="V100" i="3"/>
  <c r="V21" i="3"/>
  <c r="V38" i="3"/>
  <c r="V54" i="3"/>
  <c r="V70" i="3"/>
  <c r="V86" i="3"/>
  <c r="V102" i="3"/>
  <c r="V7" i="3"/>
  <c r="V55" i="3"/>
  <c r="V71" i="3"/>
  <c r="V87" i="3"/>
  <c r="V103" i="3"/>
  <c r="V37" i="3"/>
  <c r="V6" i="3"/>
  <c r="V40" i="3"/>
  <c r="V56" i="3"/>
  <c r="V72" i="3"/>
  <c r="V88" i="3"/>
  <c r="V104" i="3"/>
  <c r="V39" i="3"/>
  <c r="V9" i="3"/>
  <c r="V41" i="3"/>
  <c r="V73" i="3"/>
  <c r="V89" i="3"/>
  <c r="V105" i="3"/>
  <c r="V24" i="3"/>
  <c r="V25" i="3"/>
  <c r="V10" i="3"/>
  <c r="V26" i="3"/>
  <c r="V42" i="3"/>
  <c r="V58" i="3"/>
  <c r="V74" i="3"/>
  <c r="V90" i="3"/>
  <c r="V106" i="3"/>
  <c r="V101" i="3"/>
  <c r="V23" i="3"/>
  <c r="V57" i="3"/>
  <c r="V11" i="3"/>
  <c r="V27" i="3"/>
  <c r="V43" i="3"/>
  <c r="V59" i="3"/>
  <c r="V75" i="3"/>
  <c r="V91" i="3"/>
  <c r="V107" i="3"/>
  <c r="V12" i="3"/>
  <c r="V60" i="3"/>
  <c r="V76" i="3"/>
  <c r="V92" i="3"/>
  <c r="V108" i="3"/>
  <c r="V69" i="3"/>
  <c r="V8" i="3"/>
  <c r="V28" i="3"/>
  <c r="V44" i="3"/>
  <c r="V13" i="3"/>
  <c r="V29" i="3"/>
  <c r="V45" i="3"/>
  <c r="V61" i="3"/>
  <c r="V77" i="3"/>
  <c r="V93" i="3"/>
  <c r="V109" i="3"/>
  <c r="V46" i="3"/>
  <c r="V62" i="3"/>
  <c r="V78" i="3"/>
  <c r="V94" i="3"/>
  <c r="V110" i="3"/>
  <c r="V47" i="3"/>
  <c r="V63" i="3"/>
  <c r="V79" i="3"/>
  <c r="V95" i="3"/>
  <c r="V14" i="3"/>
  <c r="V48" i="3"/>
  <c r="V64" i="3"/>
  <c r="V80" i="3"/>
  <c r="V96" i="3"/>
  <c r="V53" i="3"/>
  <c r="V22" i="3"/>
  <c r="V15" i="3"/>
  <c r="V17" i="3"/>
  <c r="V49" i="3"/>
  <c r="V81" i="3"/>
  <c r="V97" i="3"/>
  <c r="V5" i="3"/>
  <c r="V30" i="3"/>
  <c r="V16" i="3"/>
  <c r="V65" i="3"/>
  <c r="V18" i="3"/>
  <c r="V34" i="3"/>
  <c r="V50" i="3"/>
  <c r="V66" i="3"/>
  <c r="V82" i="3"/>
  <c r="V98" i="3"/>
  <c r="V31" i="3"/>
  <c r="V32" i="3"/>
  <c r="V33" i="3"/>
  <c r="V3" i="3"/>
  <c r="V19" i="3"/>
  <c r="V35" i="3"/>
  <c r="V51" i="3"/>
  <c r="V67" i="3"/>
  <c r="V83" i="3"/>
  <c r="V99" i="3"/>
  <c r="N88" i="4"/>
  <c r="N15" i="4"/>
  <c r="N31" i="4"/>
  <c r="N40" i="4"/>
  <c r="N143" i="4"/>
  <c r="N36" i="4"/>
  <c r="N52" i="4"/>
  <c r="N163" i="4"/>
  <c r="N27" i="4"/>
  <c r="N112" i="4"/>
  <c r="N70" i="4"/>
  <c r="N102" i="4"/>
  <c r="N181" i="4"/>
  <c r="N98" i="4"/>
  <c r="N59" i="4"/>
  <c r="N156" i="4"/>
  <c r="N43" i="4"/>
  <c r="N51" i="4"/>
  <c r="N93" i="4"/>
  <c r="N6" i="4"/>
  <c r="N108" i="4"/>
  <c r="N94" i="4"/>
  <c r="N79" i="4"/>
  <c r="N142" i="4"/>
  <c r="N69" i="4"/>
  <c r="N197" i="4"/>
  <c r="N188" i="4"/>
  <c r="N172" i="4"/>
  <c r="N101" i="4"/>
  <c r="N21" i="4"/>
  <c r="N5" i="4"/>
  <c r="N53" i="4"/>
  <c r="N180" i="4"/>
  <c r="N133" i="4"/>
  <c r="N37" i="4"/>
  <c r="N195" i="4"/>
  <c r="N26" i="4"/>
  <c r="N201" i="4"/>
  <c r="N177" i="4"/>
  <c r="N60" i="4"/>
  <c r="N106" i="4"/>
  <c r="N82" i="4"/>
  <c r="N130" i="4"/>
  <c r="N178" i="4"/>
  <c r="N67" i="4"/>
  <c r="N182" i="4"/>
  <c r="N161" i="4"/>
  <c r="N66" i="4"/>
  <c r="N141" i="4"/>
  <c r="N99" i="4"/>
  <c r="N115" i="4"/>
  <c r="N147" i="4"/>
  <c r="N183" i="4"/>
  <c r="N184" i="4"/>
  <c r="N185" i="4"/>
  <c r="N123" i="4"/>
  <c r="N127" i="4"/>
  <c r="N20" i="4"/>
  <c r="N150" i="4"/>
  <c r="N152" i="4"/>
  <c r="N154" i="4"/>
  <c r="N157" i="4"/>
  <c r="N191" i="4"/>
  <c r="N22" i="4"/>
  <c r="N118" i="4"/>
  <c r="N159" i="4"/>
  <c r="N193" i="4"/>
  <c r="N91" i="4"/>
  <c r="N171" i="4"/>
  <c r="N34" i="4"/>
  <c r="N56" i="4"/>
  <c r="N120" i="4"/>
  <c r="N76" i="4"/>
  <c r="N140" i="4"/>
  <c r="N170" i="4"/>
  <c r="N109" i="4"/>
  <c r="N90" i="4"/>
  <c r="N54" i="4"/>
  <c r="N153" i="4"/>
  <c r="N74" i="4"/>
  <c r="N68" i="4"/>
  <c r="N11" i="4"/>
  <c r="N107" i="4"/>
  <c r="N122" i="4"/>
  <c r="N164" i="4"/>
  <c r="N77" i="4"/>
  <c r="N186" i="4"/>
  <c r="N137" i="4"/>
  <c r="N58" i="4"/>
  <c r="N138" i="4"/>
  <c r="N92" i="4"/>
  <c r="N75" i="4"/>
  <c r="N139" i="4"/>
  <c r="N24" i="4"/>
  <c r="N124" i="4"/>
  <c r="N166" i="4"/>
  <c r="N198" i="4"/>
  <c r="N158" i="4"/>
  <c r="N7" i="4"/>
  <c r="N8" i="4"/>
  <c r="N100" i="4"/>
  <c r="N110" i="4"/>
  <c r="N42" i="4"/>
  <c r="N2" i="4"/>
  <c r="N47" i="4"/>
  <c r="N104" i="4"/>
  <c r="N126" i="4"/>
  <c r="N168" i="4"/>
  <c r="N199" i="4"/>
  <c r="N129" i="4"/>
  <c r="N50" i="4"/>
  <c r="N175" i="4"/>
  <c r="N179" i="4"/>
  <c r="N200" i="4"/>
  <c r="N113" i="4"/>
  <c r="N145" i="4"/>
  <c r="N86" i="4"/>
  <c r="N96" i="4"/>
  <c r="N135" i="4"/>
  <c r="N114" i="4"/>
  <c r="N3" i="4"/>
  <c r="N83" i="4"/>
  <c r="N131" i="4"/>
  <c r="N18" i="4"/>
  <c r="N4" i="4"/>
  <c r="N84" i="4"/>
  <c r="N116" i="4"/>
  <c r="N194" i="4"/>
  <c r="N10" i="4"/>
  <c r="N35" i="4"/>
  <c r="N44" i="4"/>
  <c r="N61" i="4"/>
  <c r="N78" i="4"/>
  <c r="N111" i="4"/>
  <c r="N128" i="4"/>
  <c r="N167" i="4"/>
  <c r="N19" i="4"/>
  <c r="N28" i="4"/>
  <c r="N45" i="4"/>
  <c r="N62" i="4"/>
  <c r="N87" i="4"/>
  <c r="N95" i="4"/>
  <c r="N103" i="4"/>
  <c r="N148" i="4"/>
  <c r="N169" i="4"/>
  <c r="N187" i="4"/>
  <c r="N12" i="4"/>
  <c r="N29" i="4"/>
  <c r="N46" i="4"/>
  <c r="N71" i="4"/>
  <c r="N80" i="4"/>
  <c r="N132" i="4"/>
  <c r="N151" i="4"/>
  <c r="N190" i="4"/>
  <c r="N72" i="4"/>
  <c r="N89" i="4"/>
  <c r="N105" i="4"/>
  <c r="N38" i="4"/>
  <c r="N63" i="4"/>
  <c r="N97" i="4"/>
  <c r="N13" i="4"/>
  <c r="N30" i="4"/>
  <c r="N55" i="4"/>
  <c r="N64" i="4"/>
  <c r="N81" i="4"/>
  <c r="N117" i="4"/>
  <c r="N134" i="4"/>
  <c r="N174" i="4"/>
  <c r="N192" i="4"/>
  <c r="N14" i="4"/>
  <c r="N39" i="4"/>
  <c r="N48" i="4"/>
  <c r="N119" i="4"/>
  <c r="N136" i="4"/>
  <c r="N23" i="4"/>
  <c r="N32" i="4"/>
  <c r="N121" i="4"/>
  <c r="N16" i="4"/>
  <c r="N165" i="4"/>
  <c r="N196" i="4"/>
  <c r="N149" i="4"/>
  <c r="N176" i="4"/>
  <c r="N155" i="4"/>
  <c r="N144" i="4"/>
  <c r="N160" i="4"/>
  <c r="N146" i="4"/>
  <c r="N162" i="4"/>
  <c r="N9" i="4"/>
  <c r="N17" i="4"/>
  <c r="N25" i="4"/>
  <c r="N33" i="4"/>
  <c r="N41" i="4"/>
  <c r="N49" i="4"/>
  <c r="N57" i="4"/>
  <c r="N65" i="4"/>
  <c r="N73" i="4"/>
  <c r="N85" i="4"/>
  <c r="N125" i="4"/>
  <c r="N173" i="4"/>
  <c r="N189" i="4"/>
  <c r="L78" i="3" l="1"/>
  <c r="L159" i="3"/>
  <c r="L134" i="3"/>
  <c r="L190" i="3"/>
  <c r="L128" i="3"/>
  <c r="L57" i="3"/>
  <c r="L32" i="3"/>
  <c r="L76" i="3"/>
  <c r="L142" i="3"/>
  <c r="L68" i="3"/>
  <c r="L144" i="3"/>
  <c r="L88" i="3"/>
  <c r="L91" i="3"/>
  <c r="L53" i="3"/>
  <c r="L84" i="3"/>
  <c r="L158" i="3"/>
  <c r="L102" i="3"/>
  <c r="L55" i="3"/>
  <c r="L157" i="3"/>
  <c r="L137" i="3"/>
  <c r="L8" i="3"/>
  <c r="L146" i="3"/>
  <c r="L86" i="3"/>
  <c r="L73" i="3"/>
  <c r="L151" i="3"/>
  <c r="L79" i="3"/>
  <c r="L129" i="3"/>
  <c r="L113" i="3"/>
  <c r="L74" i="3"/>
  <c r="L15" i="3"/>
  <c r="L25" i="3"/>
  <c r="L82" i="3"/>
  <c r="L85" i="3"/>
  <c r="L119" i="3"/>
  <c r="L14" i="3"/>
  <c r="L118" i="3"/>
  <c r="L40" i="3"/>
  <c r="L98" i="3"/>
  <c r="L141" i="3"/>
  <c r="L10" i="3"/>
  <c r="L39" i="3"/>
  <c r="L26" i="3"/>
  <c r="L29" i="3"/>
  <c r="L183" i="3"/>
  <c r="L160" i="3"/>
  <c r="L131" i="3"/>
  <c r="L24" i="3"/>
  <c r="L202" i="3"/>
  <c r="L41" i="3"/>
  <c r="L132" i="3"/>
  <c r="L150" i="3"/>
  <c r="L139" i="3"/>
  <c r="L17" i="3"/>
  <c r="L19" i="3"/>
  <c r="L5" i="3"/>
  <c r="L124" i="3"/>
  <c r="L162" i="3"/>
  <c r="L4" i="3"/>
  <c r="L72" i="3"/>
  <c r="L38" i="3"/>
  <c r="L63" i="3"/>
  <c r="L20" i="3"/>
  <c r="L67" i="3"/>
  <c r="L45" i="3"/>
  <c r="L87" i="3"/>
  <c r="L33" i="3"/>
  <c r="L120" i="3"/>
  <c r="L27" i="3"/>
  <c r="L136" i="3"/>
  <c r="L149" i="3"/>
  <c r="L9" i="3"/>
  <c r="L121" i="3"/>
  <c r="L130" i="3"/>
  <c r="L155" i="3"/>
  <c r="L95" i="3"/>
  <c r="L109" i="3"/>
  <c r="L154" i="3"/>
  <c r="L117" i="3"/>
  <c r="L93" i="3"/>
  <c r="L165" i="3"/>
  <c r="L6" i="3"/>
  <c r="L156" i="3"/>
  <c r="L28" i="3"/>
  <c r="L189" i="3"/>
  <c r="L90" i="3"/>
  <c r="L106" i="3"/>
  <c r="L37" i="3"/>
  <c r="L13" i="3"/>
  <c r="L49" i="3"/>
  <c r="L108" i="3"/>
  <c r="L48" i="3"/>
  <c r="L99" i="3"/>
  <c r="L80" i="3"/>
  <c r="L143" i="3"/>
  <c r="L60" i="3"/>
  <c r="L111" i="3"/>
  <c r="L59" i="3"/>
  <c r="L125" i="3"/>
  <c r="L7" i="3"/>
  <c r="L123" i="3"/>
  <c r="L52" i="3"/>
  <c r="L34" i="3"/>
  <c r="L180" i="3"/>
  <c r="L198" i="3"/>
  <c r="L103" i="3"/>
  <c r="L83" i="3"/>
  <c r="L44" i="3"/>
  <c r="L126" i="3"/>
  <c r="L127" i="3"/>
  <c r="L21" i="3"/>
  <c r="L58" i="3"/>
  <c r="L135" i="3"/>
  <c r="L22" i="3"/>
  <c r="L31" i="3"/>
  <c r="L105" i="3"/>
  <c r="L36" i="3"/>
  <c r="L56" i="3"/>
  <c r="L101" i="3"/>
  <c r="L18" i="3"/>
  <c r="L110" i="3"/>
  <c r="L23" i="3"/>
  <c r="L200" i="3"/>
  <c r="L96" i="3"/>
  <c r="L116" i="3"/>
  <c r="L89" i="3"/>
  <c r="L51" i="3"/>
  <c r="L104" i="3"/>
  <c r="L185" i="3"/>
  <c r="L166" i="3"/>
  <c r="L173" i="3"/>
  <c r="L188" i="3"/>
  <c r="L194" i="3"/>
  <c r="L169" i="3"/>
  <c r="L177" i="3"/>
  <c r="L164" i="3"/>
  <c r="L170" i="3"/>
  <c r="L167" i="3"/>
  <c r="L187" i="3"/>
  <c r="L186" i="3"/>
  <c r="L192" i="3"/>
  <c r="L199" i="3"/>
  <c r="L168" i="3"/>
  <c r="L191" i="3"/>
  <c r="L184" i="3"/>
  <c r="L176" i="3"/>
  <c r="L195" i="3"/>
  <c r="U143" i="7"/>
  <c r="L181" i="3"/>
  <c r="L64" i="3"/>
  <c r="L35" i="3"/>
  <c r="L11" i="3"/>
  <c r="L178" i="3"/>
  <c r="L16" i="3"/>
  <c r="L30" i="3"/>
  <c r="U6" i="7"/>
  <c r="U177" i="7"/>
  <c r="U97" i="7"/>
  <c r="U196" i="7"/>
  <c r="U137" i="7"/>
  <c r="U109" i="7"/>
  <c r="U119" i="7"/>
  <c r="U27" i="7"/>
  <c r="U120" i="7"/>
  <c r="U186" i="7"/>
  <c r="U102" i="7"/>
  <c r="U104" i="7"/>
  <c r="L69" i="3"/>
  <c r="L152" i="3"/>
  <c r="L62" i="3"/>
  <c r="L65" i="3"/>
  <c r="U138" i="7"/>
  <c r="L75" i="3"/>
  <c r="L147" i="3"/>
  <c r="L107" i="3"/>
  <c r="U88" i="7"/>
  <c r="U141" i="7"/>
  <c r="U152" i="7"/>
  <c r="U114" i="7"/>
  <c r="U199" i="7"/>
  <c r="U9" i="7"/>
  <c r="U126" i="7"/>
  <c r="U166" i="7"/>
  <c r="L175" i="3"/>
  <c r="U159" i="7"/>
  <c r="U148" i="7"/>
  <c r="L153" i="3"/>
  <c r="L114" i="3"/>
  <c r="L50" i="3"/>
  <c r="L94" i="3"/>
  <c r="L140" i="3"/>
  <c r="U18" i="7"/>
  <c r="U180" i="7"/>
  <c r="U81" i="7"/>
  <c r="U65" i="7"/>
  <c r="L161" i="3"/>
  <c r="L97" i="3"/>
  <c r="L148" i="3"/>
  <c r="L196" i="3"/>
  <c r="L92" i="3"/>
  <c r="U181" i="7"/>
  <c r="U170" i="7"/>
  <c r="U197" i="7"/>
  <c r="U10" i="7"/>
  <c r="U113" i="7"/>
  <c r="U116" i="7"/>
  <c r="U175" i="7"/>
  <c r="U193" i="7"/>
  <c r="U183" i="7"/>
  <c r="U94" i="7"/>
  <c r="U7" i="7"/>
  <c r="U73" i="7"/>
  <c r="L77" i="3"/>
  <c r="L71" i="3"/>
  <c r="L70" i="3"/>
  <c r="L47" i="3"/>
  <c r="U87" i="7"/>
  <c r="U43" i="7"/>
  <c r="U189" i="7"/>
  <c r="U67" i="7"/>
  <c r="U5" i="7"/>
  <c r="L66" i="3"/>
  <c r="U130" i="7"/>
  <c r="U190" i="7"/>
  <c r="U40" i="7"/>
  <c r="U195" i="7"/>
  <c r="U55" i="7"/>
  <c r="U127" i="7"/>
  <c r="U168" i="7"/>
  <c r="U139" i="7"/>
  <c r="U146" i="7"/>
  <c r="U17" i="7"/>
  <c r="U89" i="7"/>
  <c r="U100" i="7"/>
  <c r="U64" i="7"/>
  <c r="U160" i="7"/>
  <c r="U34" i="7"/>
  <c r="U22" i="7"/>
  <c r="U59" i="7"/>
  <c r="U38" i="7"/>
  <c r="U123" i="7"/>
  <c r="U131" i="7"/>
  <c r="U178" i="7"/>
  <c r="U174" i="7"/>
  <c r="U52" i="7"/>
  <c r="U61" i="7"/>
  <c r="U122" i="7"/>
  <c r="L174" i="3"/>
  <c r="L61" i="3"/>
  <c r="U149" i="7"/>
  <c r="U125" i="7"/>
  <c r="U145" i="7"/>
  <c r="U75" i="7"/>
  <c r="U184" i="7"/>
  <c r="U99" i="7"/>
  <c r="U25" i="7"/>
  <c r="U142" i="7"/>
  <c r="U8" i="7"/>
  <c r="U79" i="7"/>
  <c r="U84" i="7"/>
  <c r="U56" i="7"/>
  <c r="U48" i="7"/>
  <c r="U144" i="7"/>
  <c r="U132" i="7"/>
  <c r="U153" i="7"/>
  <c r="U156" i="7"/>
  <c r="U86" i="7"/>
  <c r="U115" i="7"/>
  <c r="U158" i="7"/>
  <c r="U85" i="7"/>
  <c r="U90" i="7"/>
  <c r="U111" i="7"/>
  <c r="U133" i="7"/>
  <c r="L12" i="3"/>
  <c r="L197" i="3"/>
  <c r="U14" i="7"/>
  <c r="U172" i="7"/>
  <c r="U151" i="7"/>
  <c r="U78" i="7"/>
  <c r="U26" i="7"/>
  <c r="U20" i="7"/>
  <c r="U57" i="7"/>
  <c r="U68" i="7"/>
  <c r="U105" i="7"/>
  <c r="U32" i="7"/>
  <c r="U128" i="7"/>
  <c r="U3" i="7"/>
  <c r="U50" i="7"/>
  <c r="U135" i="7"/>
  <c r="U66" i="7"/>
  <c r="U49" i="7"/>
  <c r="U31" i="7"/>
  <c r="U41" i="7"/>
  <c r="U147" i="7"/>
  <c r="U63" i="7"/>
  <c r="U74" i="7"/>
  <c r="L81" i="3"/>
  <c r="L201" i="3"/>
  <c r="U165" i="7"/>
  <c r="U154" i="7"/>
  <c r="U82" i="7"/>
  <c r="U91" i="7"/>
  <c r="U4" i="7"/>
  <c r="U155" i="7"/>
  <c r="U47" i="7"/>
  <c r="U58" i="7"/>
  <c r="U106" i="7"/>
  <c r="U16" i="7"/>
  <c r="U112" i="7"/>
  <c r="L42" i="3"/>
  <c r="U157" i="7"/>
  <c r="U173" i="7"/>
  <c r="U42" i="7"/>
  <c r="U101" i="7"/>
  <c r="U108" i="7"/>
  <c r="L179" i="3"/>
  <c r="L122" i="3"/>
  <c r="L133" i="3"/>
  <c r="L145" i="3"/>
  <c r="U54" i="7"/>
  <c r="U107" i="7"/>
  <c r="U37" i="7"/>
  <c r="U36" i="7"/>
  <c r="U117" i="7"/>
  <c r="U129" i="7"/>
  <c r="L112" i="3"/>
  <c r="U19" i="7"/>
  <c r="U161" i="7"/>
  <c r="U136" i="7"/>
  <c r="U46" i="7"/>
  <c r="U35" i="7"/>
  <c r="U201" i="7"/>
  <c r="U110" i="7"/>
  <c r="U53" i="7"/>
  <c r="U187" i="7"/>
  <c r="U95" i="7"/>
  <c r="U71" i="7"/>
  <c r="U93" i="7"/>
  <c r="L46" i="3"/>
  <c r="L43" i="3"/>
  <c r="U140" i="7"/>
  <c r="U11" i="7"/>
  <c r="U2" i="7"/>
  <c r="U62" i="7"/>
  <c r="U51" i="7"/>
  <c r="U15" i="7"/>
  <c r="U118" i="7"/>
  <c r="U171" i="7"/>
  <c r="U69" i="7"/>
  <c r="U194" i="7"/>
  <c r="U23" i="7"/>
  <c r="U60" i="7"/>
  <c r="L54" i="3"/>
  <c r="U33" i="7"/>
  <c r="U169" i="7"/>
  <c r="U30" i="7"/>
  <c r="U164" i="7"/>
  <c r="U83" i="7"/>
  <c r="U200" i="7"/>
  <c r="U44" i="7"/>
  <c r="U182" i="7"/>
  <c r="U92" i="7"/>
  <c r="U72" i="7"/>
  <c r="L193" i="3"/>
  <c r="L163" i="3"/>
  <c r="L115" i="3"/>
  <c r="L182" i="3"/>
  <c r="U185" i="7"/>
  <c r="U167" i="7"/>
  <c r="U98" i="7"/>
  <c r="U70" i="7"/>
  <c r="U21" i="7"/>
  <c r="U28" i="7"/>
  <c r="U45" i="7"/>
  <c r="U179" i="7"/>
  <c r="U198" i="7"/>
  <c r="U96" i="7"/>
  <c r="U192" i="7"/>
  <c r="U191" i="7"/>
  <c r="L138" i="3"/>
  <c r="L172" i="3"/>
  <c r="L100" i="3"/>
  <c r="L171" i="3"/>
  <c r="U124" i="7"/>
  <c r="U103" i="7"/>
  <c r="U12" i="7"/>
  <c r="U162" i="7"/>
  <c r="U134" i="7"/>
  <c r="U150" i="7"/>
  <c r="U29" i="7"/>
  <c r="U24" i="7"/>
  <c r="U39" i="7"/>
  <c r="U77" i="7"/>
  <c r="U121" i="7"/>
  <c r="U13" i="7"/>
  <c r="U163" i="7"/>
  <c r="U76" i="7"/>
  <c r="U80" i="7"/>
  <c r="U176" i="7"/>
  <c r="U188" i="7"/>
  <c r="K138" i="3"/>
  <c r="K121" i="3"/>
  <c r="K124" i="3"/>
  <c r="K61" i="3"/>
  <c r="K143" i="3"/>
  <c r="K118" i="3"/>
  <c r="K35" i="3"/>
  <c r="K95" i="3"/>
  <c r="K37" i="3"/>
  <c r="K3" i="3"/>
  <c r="K136" i="3"/>
  <c r="K78" i="3"/>
  <c r="K86" i="3"/>
  <c r="K150" i="3"/>
  <c r="K82" i="3"/>
  <c r="K47" i="3"/>
  <c r="K79" i="3"/>
  <c r="K87" i="3"/>
  <c r="K101" i="3"/>
  <c r="K27" i="3"/>
  <c r="K109" i="3"/>
  <c r="K144" i="3"/>
  <c r="K57" i="3"/>
  <c r="K74" i="3"/>
  <c r="K9" i="3"/>
  <c r="K92" i="3"/>
  <c r="K148" i="3"/>
  <c r="K7" i="3"/>
  <c r="K41" i="3"/>
  <c r="K156" i="3"/>
  <c r="K126" i="3"/>
  <c r="K146" i="3"/>
  <c r="K123" i="3"/>
  <c r="K66" i="3"/>
  <c r="K56" i="3"/>
  <c r="K13" i="3"/>
  <c r="K45" i="3"/>
  <c r="K114" i="3"/>
  <c r="K8" i="3"/>
  <c r="K108" i="3"/>
  <c r="K116" i="3"/>
  <c r="K38" i="3"/>
  <c r="K94" i="3"/>
  <c r="K32" i="3"/>
  <c r="K133" i="3"/>
  <c r="K43" i="3"/>
  <c r="K30" i="3"/>
  <c r="K17" i="3"/>
  <c r="K36" i="3"/>
  <c r="K12" i="3"/>
  <c r="K100" i="3"/>
  <c r="K134" i="3"/>
  <c r="K52" i="3"/>
  <c r="K16" i="3"/>
  <c r="K145" i="3"/>
  <c r="K58" i="3"/>
  <c r="K31" i="3"/>
  <c r="K159" i="3"/>
  <c r="K160" i="3"/>
  <c r="K50" i="3"/>
  <c r="K122" i="3"/>
  <c r="K14" i="3"/>
  <c r="K11" i="3"/>
  <c r="K69" i="3"/>
  <c r="K119" i="3"/>
  <c r="K142" i="3"/>
  <c r="K44" i="3"/>
  <c r="K89" i="3"/>
  <c r="K62" i="3"/>
  <c r="K149" i="3"/>
  <c r="K23" i="3"/>
  <c r="K67" i="3"/>
  <c r="K54" i="3"/>
  <c r="K157" i="3"/>
  <c r="K135" i="3"/>
  <c r="K53" i="3"/>
  <c r="K97" i="3"/>
  <c r="K98" i="3"/>
  <c r="K75" i="3"/>
  <c r="K34" i="3"/>
  <c r="K24" i="3"/>
  <c r="K64" i="3"/>
  <c r="K104" i="3"/>
  <c r="K117" i="3"/>
  <c r="K51" i="3"/>
  <c r="K125" i="3"/>
  <c r="K154" i="3"/>
  <c r="K162" i="3"/>
  <c r="K6" i="3"/>
  <c r="K60" i="3"/>
  <c r="K33" i="3"/>
  <c r="K39" i="3"/>
  <c r="K130" i="3"/>
  <c r="K55" i="3"/>
  <c r="K22" i="3"/>
  <c r="K99" i="3"/>
  <c r="K115" i="3"/>
  <c r="K129" i="3"/>
  <c r="K111" i="3"/>
  <c r="K26" i="3"/>
  <c r="K96" i="3"/>
  <c r="K85" i="3"/>
  <c r="K25" i="3"/>
  <c r="K158" i="3"/>
  <c r="K18" i="3"/>
  <c r="K120" i="3"/>
  <c r="K106" i="3"/>
  <c r="K88" i="3"/>
  <c r="K5" i="3"/>
  <c r="K140" i="3"/>
  <c r="K91" i="3"/>
  <c r="K155" i="3"/>
  <c r="K68" i="3"/>
  <c r="K102" i="3"/>
  <c r="K80" i="3"/>
  <c r="K42" i="3"/>
  <c r="K10" i="3"/>
  <c r="K90" i="3"/>
  <c r="K19" i="3"/>
  <c r="K153" i="3"/>
  <c r="K65" i="3"/>
  <c r="K137" i="3"/>
  <c r="K49" i="3"/>
  <c r="K63" i="3"/>
  <c r="K76" i="3"/>
  <c r="K110" i="3"/>
  <c r="K103" i="3"/>
  <c r="K171" i="3"/>
  <c r="K187" i="3"/>
  <c r="K189" i="3"/>
  <c r="K190" i="3"/>
  <c r="K172" i="3"/>
  <c r="K188" i="3"/>
  <c r="K173" i="3"/>
  <c r="K192" i="3"/>
  <c r="K169" i="3"/>
  <c r="K201" i="3"/>
  <c r="K175" i="3"/>
  <c r="K191" i="3"/>
  <c r="K176" i="3"/>
  <c r="K177" i="3"/>
  <c r="K193" i="3"/>
  <c r="K178" i="3"/>
  <c r="K194" i="3"/>
  <c r="K164" i="3"/>
  <c r="K198" i="3"/>
  <c r="K163" i="3"/>
  <c r="K179" i="3"/>
  <c r="K195" i="3"/>
  <c r="K196" i="3"/>
  <c r="K166" i="3"/>
  <c r="K184" i="3"/>
  <c r="K180" i="3"/>
  <c r="K165" i="3"/>
  <c r="K181" i="3"/>
  <c r="K197" i="3"/>
  <c r="K182" i="3"/>
  <c r="K200" i="3"/>
  <c r="K167" i="3"/>
  <c r="K183" i="3"/>
  <c r="K199" i="3"/>
  <c r="K168" i="3"/>
  <c r="K170" i="3"/>
  <c r="K186" i="3"/>
  <c r="K202" i="3"/>
  <c r="K174" i="3"/>
  <c r="K185" i="3"/>
  <c r="K40" i="3"/>
  <c r="K73" i="3"/>
  <c r="K46" i="3"/>
  <c r="K132" i="3"/>
  <c r="K127" i="3"/>
  <c r="K93" i="3"/>
  <c r="K151" i="3"/>
  <c r="K131" i="3"/>
  <c r="K71" i="3"/>
  <c r="K72" i="3"/>
  <c r="K147" i="3"/>
  <c r="K84" i="3"/>
  <c r="K139" i="3"/>
  <c r="K21" i="3"/>
  <c r="K113" i="3"/>
  <c r="K81" i="3"/>
  <c r="K112" i="3"/>
  <c r="K15" i="3"/>
  <c r="K29" i="3"/>
  <c r="K105" i="3"/>
  <c r="K141" i="3"/>
  <c r="K83" i="3"/>
  <c r="K161" i="3"/>
  <c r="K152" i="3"/>
  <c r="K20" i="3"/>
  <c r="K4" i="3"/>
  <c r="K48" i="3"/>
  <c r="K59" i="3"/>
  <c r="K77" i="3"/>
  <c r="K128" i="3"/>
  <c r="K107" i="3"/>
  <c r="K70" i="3"/>
  <c r="K28" i="3"/>
  <c r="U28" i="3" l="1"/>
  <c r="V150" i="7"/>
  <c r="V140" i="7"/>
  <c r="V129" i="7"/>
  <c r="V112" i="7"/>
  <c r="V56" i="7"/>
  <c r="V52" i="7"/>
  <c r="V134" i="7"/>
  <c r="V117" i="7"/>
  <c r="V84" i="7"/>
  <c r="V127" i="7"/>
  <c r="V73" i="7"/>
  <c r="V120" i="7"/>
  <c r="V79" i="7"/>
  <c r="V55" i="7"/>
  <c r="V65" i="7"/>
  <c r="V114" i="7"/>
  <c r="V45" i="7"/>
  <c r="V61" i="7"/>
  <c r="V49" i="7"/>
  <c r="V98" i="7"/>
  <c r="V93" i="7"/>
  <c r="V58" i="7"/>
  <c r="V66" i="7"/>
  <c r="V131" i="7"/>
  <c r="V94" i="7"/>
  <c r="V81" i="7"/>
  <c r="V152" i="7"/>
  <c r="V119" i="7"/>
  <c r="V147" i="7"/>
  <c r="V103" i="7"/>
  <c r="V71" i="7"/>
  <c r="V107" i="7"/>
  <c r="V47" i="7"/>
  <c r="V135" i="7"/>
  <c r="V133" i="7"/>
  <c r="V142" i="7"/>
  <c r="V123" i="7"/>
  <c r="V141" i="7"/>
  <c r="V109" i="7"/>
  <c r="V48" i="7"/>
  <c r="V70" i="7"/>
  <c r="V106" i="7"/>
  <c r="V124" i="7"/>
  <c r="V60" i="7"/>
  <c r="V95" i="7"/>
  <c r="V54" i="7"/>
  <c r="V155" i="7"/>
  <c r="V50" i="7"/>
  <c r="V111" i="7"/>
  <c r="V88" i="7"/>
  <c r="V137" i="7"/>
  <c r="V102" i="7"/>
  <c r="V90" i="7"/>
  <c r="V99" i="7"/>
  <c r="V59" i="7"/>
  <c r="V130" i="7"/>
  <c r="V80" i="7"/>
  <c r="V53" i="7"/>
  <c r="V91" i="7"/>
  <c r="V128" i="7"/>
  <c r="V85" i="7"/>
  <c r="V116" i="7"/>
  <c r="V97" i="7"/>
  <c r="V83" i="7"/>
  <c r="V126" i="7"/>
  <c r="V76" i="7"/>
  <c r="V69" i="7"/>
  <c r="V110" i="7"/>
  <c r="V82" i="7"/>
  <c r="V158" i="7"/>
  <c r="V75" i="7"/>
  <c r="V113" i="7"/>
  <c r="V154" i="7"/>
  <c r="V105" i="7"/>
  <c r="V115" i="7"/>
  <c r="V145" i="7"/>
  <c r="V160" i="7"/>
  <c r="V67" i="7"/>
  <c r="V138" i="7"/>
  <c r="V139" i="7"/>
  <c r="V72" i="7"/>
  <c r="V118" i="7"/>
  <c r="V108" i="7"/>
  <c r="V68" i="7"/>
  <c r="V86" i="7"/>
  <c r="V125" i="7"/>
  <c r="V64" i="7"/>
  <c r="V151" i="7"/>
  <c r="V121" i="7"/>
  <c r="V92" i="7"/>
  <c r="V46" i="7"/>
  <c r="V101" i="7"/>
  <c r="V57" i="7"/>
  <c r="V156" i="7"/>
  <c r="V149" i="7"/>
  <c r="V100" i="7"/>
  <c r="V148" i="7"/>
  <c r="V77" i="7"/>
  <c r="V96" i="7"/>
  <c r="V51" i="7"/>
  <c r="V136" i="7"/>
  <c r="V153" i="7"/>
  <c r="V89" i="7"/>
  <c r="V87" i="7"/>
  <c r="V159" i="7"/>
  <c r="V62" i="7"/>
  <c r="V161" i="7"/>
  <c r="V74" i="7"/>
  <c r="V132" i="7"/>
  <c r="V157" i="7"/>
  <c r="V63" i="7"/>
  <c r="V78" i="7"/>
  <c r="V144" i="7"/>
  <c r="V122" i="7"/>
  <c r="V146" i="7"/>
  <c r="V104" i="7"/>
  <c r="V143" i="7"/>
  <c r="U11" i="3"/>
  <c r="U19" i="3"/>
  <c r="U46" i="3"/>
  <c r="U130" i="3"/>
  <c r="U71" i="3"/>
  <c r="U114" i="3"/>
  <c r="U138" i="3"/>
  <c r="U14" i="3"/>
  <c r="V13" i="7"/>
  <c r="U17" i="3"/>
  <c r="V16" i="7"/>
  <c r="U64" i="3"/>
  <c r="U134" i="3"/>
  <c r="V17" i="7"/>
  <c r="U13" i="3"/>
  <c r="V12" i="7"/>
  <c r="U16" i="3"/>
  <c r="V15" i="7"/>
  <c r="U104" i="3"/>
  <c r="U66" i="3"/>
  <c r="U52" i="3"/>
  <c r="V41" i="7"/>
  <c r="U58" i="3"/>
  <c r="U96" i="3"/>
  <c r="V36" i="7"/>
  <c r="V31" i="7"/>
  <c r="V20" i="7"/>
  <c r="U86" i="3"/>
  <c r="V8" i="7"/>
  <c r="V5" i="7"/>
  <c r="U29" i="3"/>
  <c r="V28" i="7"/>
  <c r="U105" i="3"/>
  <c r="V2" i="7"/>
  <c r="V37" i="7"/>
  <c r="U109" i="3"/>
  <c r="V26" i="7"/>
  <c r="V9" i="7"/>
  <c r="U22" i="3"/>
  <c r="V21" i="7"/>
  <c r="U54" i="3"/>
  <c r="V4" i="7"/>
  <c r="V25" i="7"/>
  <c r="U73" i="3"/>
  <c r="U12" i="3"/>
  <c r="V11" i="7"/>
  <c r="U43" i="3"/>
  <c r="V42" i="7"/>
  <c r="U136" i="3"/>
  <c r="V43" i="7"/>
  <c r="U99" i="3"/>
  <c r="U93" i="3"/>
  <c r="U121" i="3"/>
  <c r="U83" i="3"/>
  <c r="V38" i="7"/>
  <c r="V18" i="7"/>
  <c r="U82" i="3"/>
  <c r="V35" i="7"/>
  <c r="U155" i="3"/>
  <c r="V3" i="7"/>
  <c r="V14" i="7"/>
  <c r="U122" i="3"/>
  <c r="U45" i="3"/>
  <c r="V44" i="7"/>
  <c r="U47" i="3"/>
  <c r="U89" i="3"/>
  <c r="U110" i="3"/>
  <c r="V22" i="7"/>
  <c r="V40" i="7"/>
  <c r="U78" i="3"/>
  <c r="V34" i="7"/>
  <c r="U40" i="3"/>
  <c r="V39" i="7"/>
  <c r="U84" i="3"/>
  <c r="U25" i="3"/>
  <c r="V24" i="7"/>
  <c r="U24" i="3"/>
  <c r="V23" i="7"/>
  <c r="U81" i="3"/>
  <c r="U30" i="3"/>
  <c r="V29" i="7"/>
  <c r="U31" i="3"/>
  <c r="V30" i="7"/>
  <c r="V19" i="7"/>
  <c r="U77" i="3"/>
  <c r="U70" i="3"/>
  <c r="V10" i="7"/>
  <c r="V6" i="7"/>
  <c r="U97" i="3"/>
  <c r="U34" i="3"/>
  <c r="V33" i="7"/>
  <c r="U75" i="3"/>
  <c r="V32" i="7"/>
  <c r="V7" i="7"/>
  <c r="V27" i="7"/>
  <c r="U133" i="3"/>
  <c r="U57" i="3"/>
  <c r="U39" i="3"/>
  <c r="U44" i="3"/>
  <c r="U102" i="3"/>
  <c r="U107" i="3"/>
  <c r="U51" i="3"/>
  <c r="U21" i="3"/>
  <c r="U85" i="3"/>
  <c r="U60" i="3"/>
  <c r="U7" i="3"/>
  <c r="U59" i="3"/>
  <c r="U4" i="3"/>
  <c r="U27" i="3"/>
  <c r="U80" i="3"/>
  <c r="U23" i="3"/>
  <c r="U141" i="3"/>
  <c r="U111" i="3"/>
  <c r="U98" i="3"/>
  <c r="U127" i="3"/>
  <c r="U48" i="3"/>
  <c r="U88" i="3"/>
  <c r="U139" i="3"/>
  <c r="U79" i="3"/>
  <c r="U9" i="3"/>
  <c r="U35" i="3"/>
  <c r="U63" i="3"/>
  <c r="U10" i="3"/>
  <c r="U156" i="3"/>
  <c r="U152" i="3"/>
  <c r="U143" i="3"/>
  <c r="U3" i="3"/>
  <c r="U112" i="3"/>
  <c r="U137" i="3"/>
  <c r="U160" i="3"/>
  <c r="U113" i="3"/>
  <c r="U120" i="3"/>
  <c r="U129" i="3"/>
  <c r="U145" i="3"/>
  <c r="U172" i="3"/>
  <c r="U193" i="3"/>
  <c r="U198" i="3"/>
  <c r="U188" i="3"/>
  <c r="U196" i="3"/>
  <c r="U168" i="3"/>
  <c r="U177" i="3"/>
  <c r="U199" i="3"/>
  <c r="U165" i="3"/>
  <c r="U184" i="3"/>
  <c r="U144" i="3"/>
  <c r="U173" i="3"/>
  <c r="U178" i="3"/>
  <c r="U200" i="3"/>
  <c r="U131" i="3"/>
  <c r="U182" i="3"/>
  <c r="U117" i="3"/>
  <c r="U189" i="3"/>
  <c r="U194" i="3"/>
  <c r="U169" i="3"/>
  <c r="U147" i="3"/>
  <c r="U197" i="3"/>
  <c r="U180" i="3"/>
  <c r="U185" i="3"/>
  <c r="U119" i="3"/>
  <c r="U183" i="3"/>
  <c r="U202" i="3"/>
  <c r="U151" i="3"/>
  <c r="U162" i="3"/>
  <c r="U174" i="3"/>
  <c r="U163" i="3"/>
  <c r="U135" i="3"/>
  <c r="U190" i="3"/>
  <c r="U179" i="3"/>
  <c r="U150" i="3"/>
  <c r="U128" i="3"/>
  <c r="U192" i="3"/>
  <c r="U195" i="3"/>
  <c r="U158" i="3"/>
  <c r="U175" i="3"/>
  <c r="U164" i="3"/>
  <c r="U118" i="3"/>
  <c r="U115" i="3"/>
  <c r="U191" i="3"/>
  <c r="U167" i="3"/>
  <c r="U116" i="3"/>
  <c r="U171" i="3"/>
  <c r="U132" i="3"/>
  <c r="U176" i="3"/>
  <c r="U186" i="3"/>
  <c r="U161" i="3"/>
  <c r="U166" i="3"/>
  <c r="U142" i="3"/>
  <c r="U201" i="3"/>
  <c r="U181" i="3"/>
  <c r="U125" i="3"/>
  <c r="U170" i="3"/>
  <c r="U187" i="3"/>
  <c r="U36" i="3"/>
  <c r="U5" i="3"/>
  <c r="U26" i="3"/>
  <c r="U153" i="3"/>
  <c r="U92" i="3"/>
  <c r="U15" i="3"/>
  <c r="U100" i="3"/>
  <c r="U65" i="3"/>
  <c r="U56" i="3"/>
  <c r="U76" i="3"/>
  <c r="U101" i="3"/>
  <c r="U91" i="3"/>
  <c r="U146" i="3"/>
  <c r="U123" i="3"/>
  <c r="U90" i="3"/>
  <c r="U41" i="3"/>
  <c r="U126" i="3"/>
  <c r="U62" i="3"/>
  <c r="U18" i="3"/>
  <c r="U148" i="3"/>
  <c r="U159" i="3"/>
  <c r="U53" i="3"/>
  <c r="U74" i="3"/>
  <c r="U61" i="3"/>
  <c r="U20" i="3"/>
  <c r="U37" i="3"/>
  <c r="U42" i="3"/>
  <c r="U140" i="3"/>
  <c r="U8" i="3"/>
  <c r="U149" i="3"/>
  <c r="U38" i="3"/>
  <c r="U32" i="3"/>
  <c r="U33" i="3"/>
  <c r="U87" i="3"/>
  <c r="U6" i="3"/>
  <c r="U103" i="3"/>
  <c r="U94" i="3"/>
  <c r="U108" i="3"/>
  <c r="U50" i="3"/>
  <c r="U106" i="3"/>
  <c r="U157" i="3"/>
  <c r="U68" i="3"/>
  <c r="U72" i="3"/>
  <c r="U55" i="3"/>
  <c r="U67" i="3"/>
  <c r="U69" i="3"/>
  <c r="U154" i="3"/>
  <c r="U49" i="3"/>
  <c r="U124" i="3"/>
  <c r="U95" i="3"/>
  <c r="J42" i="3" l="1"/>
  <c r="J27" i="3"/>
  <c r="J23" i="3"/>
  <c r="J30" i="3"/>
  <c r="J28" i="3"/>
  <c r="J24" i="3"/>
  <c r="J33" i="3"/>
  <c r="J39" i="3"/>
  <c r="J20" i="3"/>
  <c r="J44" i="3"/>
  <c r="J25" i="3"/>
  <c r="J19" i="3"/>
  <c r="J8" i="3"/>
  <c r="J34" i="3"/>
  <c r="J4" i="3"/>
  <c r="J14" i="3"/>
  <c r="J22" i="3"/>
  <c r="J35" i="3"/>
  <c r="J10" i="3"/>
  <c r="J37" i="3"/>
  <c r="J41" i="3"/>
  <c r="J31" i="3"/>
  <c r="J5" i="3"/>
  <c r="J32" i="3"/>
  <c r="J45" i="3"/>
  <c r="J6" i="3"/>
  <c r="J38" i="3"/>
  <c r="J159" i="3"/>
  <c r="J123" i="3"/>
  <c r="J112" i="3"/>
  <c r="J83" i="3"/>
  <c r="J53" i="3"/>
  <c r="D35" i="9"/>
  <c r="J167" i="3"/>
  <c r="J90" i="3"/>
  <c r="J157" i="3"/>
  <c r="J72" i="3"/>
  <c r="J96" i="3"/>
  <c r="J116" i="3"/>
  <c r="J140" i="3"/>
  <c r="J82" i="3"/>
  <c r="D29" i="9"/>
  <c r="J173" i="3"/>
  <c r="J73" i="3"/>
  <c r="J99" i="3"/>
  <c r="J111" i="3"/>
  <c r="J55" i="3"/>
  <c r="J139" i="3"/>
  <c r="J67" i="3"/>
  <c r="J120" i="3"/>
  <c r="J142" i="3"/>
  <c r="J197" i="3"/>
  <c r="D33" i="9"/>
  <c r="J180" i="3"/>
  <c r="J156" i="3"/>
  <c r="J66" i="3"/>
  <c r="J151" i="3"/>
  <c r="J128" i="3"/>
  <c r="J97" i="3"/>
  <c r="J129" i="3"/>
  <c r="J89" i="3"/>
  <c r="J191" i="3"/>
  <c r="J190" i="3"/>
  <c r="J103" i="3"/>
  <c r="J110" i="3"/>
  <c r="D26" i="9"/>
  <c r="J117" i="3"/>
  <c r="J76" i="3"/>
  <c r="J108" i="3"/>
  <c r="J107" i="3"/>
  <c r="J105" i="3"/>
  <c r="J104" i="3"/>
  <c r="J78" i="3"/>
  <c r="J179" i="3"/>
  <c r="J155" i="3"/>
  <c r="D32" i="9"/>
  <c r="J74" i="3"/>
  <c r="J170" i="3"/>
  <c r="J186" i="3"/>
  <c r="J57" i="3"/>
  <c r="J121" i="3"/>
  <c r="J115" i="3"/>
  <c r="J133" i="3"/>
  <c r="J200" i="3"/>
  <c r="J58" i="3"/>
  <c r="J176" i="3"/>
  <c r="D31" i="9"/>
  <c r="J60" i="3"/>
  <c r="J94" i="3"/>
  <c r="J93" i="3"/>
  <c r="J148" i="3"/>
  <c r="J100" i="3"/>
  <c r="D27" i="9"/>
  <c r="J95" i="3"/>
  <c r="J171" i="3"/>
  <c r="J165" i="3"/>
  <c r="J84" i="3"/>
  <c r="J149" i="3"/>
  <c r="J132" i="3"/>
  <c r="J64" i="3"/>
  <c r="J85" i="3"/>
  <c r="J50" i="3"/>
  <c r="J195" i="3"/>
  <c r="D30" i="9"/>
  <c r="J177" i="3"/>
  <c r="J169" i="3"/>
  <c r="J161" i="3"/>
  <c r="J49" i="3"/>
  <c r="J122" i="3"/>
  <c r="J56" i="3"/>
  <c r="J137" i="3"/>
  <c r="J124" i="3"/>
  <c r="J63" i="3"/>
  <c r="J75" i="3"/>
  <c r="J47" i="3"/>
  <c r="J69" i="3"/>
  <c r="J143" i="3"/>
  <c r="J184" i="3"/>
  <c r="D28" i="9"/>
  <c r="J164" i="3"/>
  <c r="J183" i="3"/>
  <c r="J153" i="3"/>
  <c r="J54" i="3"/>
  <c r="J71" i="3"/>
  <c r="J126" i="3"/>
  <c r="J113" i="3"/>
  <c r="J51" i="3"/>
  <c r="J101" i="3"/>
  <c r="J160" i="3"/>
  <c r="J152" i="3"/>
  <c r="J59" i="3"/>
  <c r="J62" i="3"/>
  <c r="J119" i="3"/>
  <c r="J114" i="3"/>
  <c r="J65" i="3"/>
  <c r="J81" i="3"/>
  <c r="J46" i="3"/>
  <c r="J201" i="3"/>
  <c r="J166" i="3"/>
  <c r="J178" i="3"/>
  <c r="J172" i="3"/>
  <c r="D25" i="9"/>
  <c r="J182" i="3"/>
  <c r="J118" i="3"/>
  <c r="J125" i="3"/>
  <c r="J135" i="3"/>
  <c r="J134" i="3"/>
  <c r="J79" i="3"/>
  <c r="J130" i="3"/>
  <c r="J68" i="3"/>
  <c r="J147" i="3"/>
  <c r="J87" i="3"/>
  <c r="J192" i="3"/>
  <c r="J185" i="3"/>
  <c r="J199" i="3"/>
  <c r="D23" i="9"/>
  <c r="J198" i="3"/>
  <c r="J52" i="3"/>
  <c r="J141" i="3"/>
  <c r="J162" i="3"/>
  <c r="J106" i="3"/>
  <c r="J86" i="3"/>
  <c r="J61" i="3"/>
  <c r="J109" i="3"/>
  <c r="J158" i="3"/>
  <c r="J91" i="3"/>
  <c r="J175" i="3"/>
  <c r="J202" i="3"/>
  <c r="J181" i="3"/>
  <c r="D24" i="9"/>
  <c r="J174" i="3"/>
  <c r="J136" i="3"/>
  <c r="J138" i="3"/>
  <c r="J48" i="3"/>
  <c r="J70" i="3"/>
  <c r="J196" i="3"/>
  <c r="J102" i="3"/>
  <c r="J150" i="3"/>
  <c r="J168" i="3"/>
  <c r="J194" i="3"/>
  <c r="J193" i="3"/>
  <c r="D22" i="9"/>
  <c r="J144" i="3"/>
  <c r="J131" i="3"/>
  <c r="J154" i="3"/>
  <c r="J92" i="3"/>
  <c r="J145" i="3"/>
  <c r="J146" i="3"/>
  <c r="J189" i="3"/>
  <c r="J163" i="3"/>
  <c r="D36" i="9"/>
  <c r="J98" i="3"/>
  <c r="J77" i="3"/>
  <c r="J88" i="3"/>
  <c r="J127" i="3"/>
  <c r="J187" i="3"/>
  <c r="J80" i="3"/>
  <c r="D34" i="9"/>
  <c r="J16" i="3"/>
  <c r="J43" i="3"/>
  <c r="J15" i="3"/>
  <c r="J29" i="3"/>
  <c r="J13" i="3"/>
  <c r="J12" i="3"/>
  <c r="J18" i="3"/>
  <c r="J36" i="3"/>
  <c r="J9" i="3"/>
  <c r="J7" i="3"/>
  <c r="J40" i="3"/>
  <c r="J11" i="3"/>
  <c r="J26" i="3"/>
  <c r="J21" i="3"/>
  <c r="J17" i="3"/>
  <c r="J188" i="3"/>
  <c r="J3" i="3"/>
  <c r="A193" i="6"/>
  <c r="I193" i="6"/>
  <c r="A25" i="6"/>
  <c r="I25" i="6"/>
  <c r="A181" i="6"/>
  <c r="I181" i="6"/>
  <c r="A37" i="6"/>
  <c r="I37" i="6"/>
  <c r="A157" i="6"/>
  <c r="I157" i="6"/>
  <c r="A169" i="6"/>
  <c r="I169" i="6"/>
  <c r="A133" i="6"/>
  <c r="I133" i="6"/>
  <c r="A73" i="6"/>
  <c r="I73" i="6"/>
  <c r="A97" i="6"/>
  <c r="I97" i="6"/>
  <c r="A121" i="6"/>
  <c r="I121" i="6"/>
  <c r="A85" i="6"/>
  <c r="I85" i="6"/>
  <c r="A61" i="6"/>
  <c r="I61" i="6"/>
  <c r="A145" i="6"/>
  <c r="I145" i="6"/>
  <c r="A109" i="6"/>
  <c r="I109" i="6"/>
  <c r="A49" i="6"/>
  <c r="I49" i="6"/>
  <c r="I13" i="6"/>
  <c r="A168" i="6"/>
  <c r="I168" i="6"/>
  <c r="A156" i="6"/>
  <c r="I156" i="6"/>
  <c r="A120" i="6"/>
  <c r="I120" i="6"/>
  <c r="A96" i="6"/>
  <c r="I96" i="6"/>
  <c r="A84" i="6"/>
  <c r="I84" i="6"/>
  <c r="A60" i="6"/>
  <c r="I60" i="6"/>
  <c r="A24" i="6"/>
  <c r="I24" i="6"/>
  <c r="I12" i="6"/>
  <c r="A179" i="6"/>
  <c r="I179" i="6"/>
  <c r="A167" i="6"/>
  <c r="I167" i="6"/>
  <c r="A155" i="6"/>
  <c r="I155" i="6"/>
  <c r="A143" i="6"/>
  <c r="I143" i="6"/>
  <c r="A131" i="6"/>
  <c r="I131" i="6"/>
  <c r="A119" i="6"/>
  <c r="I119" i="6"/>
  <c r="A107" i="6"/>
  <c r="I107" i="6"/>
  <c r="A95" i="6"/>
  <c r="I95" i="6"/>
  <c r="A83" i="6"/>
  <c r="I83" i="6"/>
  <c r="A71" i="6"/>
  <c r="I71" i="6"/>
  <c r="A59" i="6"/>
  <c r="I59" i="6"/>
  <c r="A47" i="6"/>
  <c r="I47" i="6"/>
  <c r="A35" i="6"/>
  <c r="I35" i="6"/>
  <c r="I23" i="6"/>
  <c r="I11" i="6"/>
  <c r="A190" i="6"/>
  <c r="I190" i="6"/>
  <c r="A178" i="6"/>
  <c r="I178" i="6"/>
  <c r="A166" i="6"/>
  <c r="I166" i="6"/>
  <c r="A154" i="6"/>
  <c r="I154" i="6"/>
  <c r="A142" i="6"/>
  <c r="I142" i="6"/>
  <c r="A130" i="6"/>
  <c r="I130" i="6"/>
  <c r="A118" i="6"/>
  <c r="I118" i="6"/>
  <c r="A106" i="6"/>
  <c r="I106" i="6"/>
  <c r="A94" i="6"/>
  <c r="I94" i="6"/>
  <c r="A82" i="6"/>
  <c r="I82" i="6"/>
  <c r="A70" i="6"/>
  <c r="I70" i="6"/>
  <c r="A58" i="6"/>
  <c r="I58" i="6"/>
  <c r="A46" i="6"/>
  <c r="I46" i="6"/>
  <c r="A34" i="6"/>
  <c r="I34" i="6"/>
  <c r="I22" i="6"/>
  <c r="I10" i="6"/>
  <c r="I5" i="6"/>
  <c r="A180" i="6"/>
  <c r="I180" i="6"/>
  <c r="A108" i="6"/>
  <c r="I108" i="6"/>
  <c r="A36" i="6"/>
  <c r="I36" i="6"/>
  <c r="A177" i="6"/>
  <c r="I177" i="6"/>
  <c r="A141" i="6"/>
  <c r="I141" i="6"/>
  <c r="A105" i="6"/>
  <c r="I105" i="6"/>
  <c r="I9" i="6"/>
  <c r="A173" i="6"/>
  <c r="I173" i="6"/>
  <c r="A125" i="6"/>
  <c r="I125" i="6"/>
  <c r="A65" i="6"/>
  <c r="I65" i="6"/>
  <c r="A41" i="6"/>
  <c r="I41" i="6"/>
  <c r="A200" i="6"/>
  <c r="I200" i="6"/>
  <c r="A176" i="6"/>
  <c r="I176" i="6"/>
  <c r="A140" i="6"/>
  <c r="I140" i="6"/>
  <c r="A128" i="6"/>
  <c r="I128" i="6"/>
  <c r="A116" i="6"/>
  <c r="I116" i="6"/>
  <c r="A104" i="6"/>
  <c r="I104" i="6"/>
  <c r="A92" i="6"/>
  <c r="I92" i="6"/>
  <c r="A80" i="6"/>
  <c r="I80" i="6"/>
  <c r="A68" i="6"/>
  <c r="I68" i="6"/>
  <c r="A56" i="6"/>
  <c r="I56" i="6"/>
  <c r="A32" i="6"/>
  <c r="I32" i="6"/>
  <c r="I8" i="6"/>
  <c r="A196" i="6"/>
  <c r="I196" i="6"/>
  <c r="A184" i="6"/>
  <c r="I184" i="6"/>
  <c r="A172" i="6"/>
  <c r="I172" i="6"/>
  <c r="A160" i="6"/>
  <c r="I160" i="6"/>
  <c r="A148" i="6"/>
  <c r="I148" i="6"/>
  <c r="A136" i="6"/>
  <c r="I136" i="6"/>
  <c r="A124" i="6"/>
  <c r="I124" i="6"/>
  <c r="A112" i="6"/>
  <c r="I112" i="6"/>
  <c r="A100" i="6"/>
  <c r="I100" i="6"/>
  <c r="A88" i="6"/>
  <c r="I88" i="6"/>
  <c r="A76" i="6"/>
  <c r="I76" i="6"/>
  <c r="A64" i="6"/>
  <c r="I64" i="6"/>
  <c r="A52" i="6"/>
  <c r="I52" i="6"/>
  <c r="A40" i="6"/>
  <c r="I40" i="6"/>
  <c r="A28" i="6"/>
  <c r="I28" i="6"/>
  <c r="I16" i="6"/>
  <c r="I4" i="6"/>
  <c r="A2" i="6" s="1"/>
  <c r="A192" i="6"/>
  <c r="I192" i="6"/>
  <c r="A132" i="6"/>
  <c r="I132" i="6"/>
  <c r="A48" i="6"/>
  <c r="I48" i="6"/>
  <c r="I20" i="6"/>
  <c r="A189" i="6"/>
  <c r="I189" i="6"/>
  <c r="A165" i="6"/>
  <c r="I165" i="6"/>
  <c r="A129" i="6"/>
  <c r="I129" i="6"/>
  <c r="A117" i="6"/>
  <c r="I117" i="6"/>
  <c r="A81" i="6"/>
  <c r="I81" i="6"/>
  <c r="A57" i="6"/>
  <c r="I57" i="6"/>
  <c r="A33" i="6"/>
  <c r="I33" i="6"/>
  <c r="A197" i="6"/>
  <c r="I197" i="6"/>
  <c r="A161" i="6"/>
  <c r="I161" i="6"/>
  <c r="A137" i="6"/>
  <c r="I137" i="6"/>
  <c r="A101" i="6"/>
  <c r="I101" i="6"/>
  <c r="A89" i="6"/>
  <c r="I89" i="6"/>
  <c r="A53" i="6"/>
  <c r="I53" i="6"/>
  <c r="A29" i="6"/>
  <c r="I29" i="6"/>
  <c r="A164" i="6"/>
  <c r="I164" i="6"/>
  <c r="A199" i="6"/>
  <c r="I199" i="6"/>
  <c r="A187" i="6"/>
  <c r="I187" i="6"/>
  <c r="A175" i="6"/>
  <c r="I175" i="6"/>
  <c r="A163" i="6"/>
  <c r="I163" i="6"/>
  <c r="A151" i="6"/>
  <c r="I151" i="6"/>
  <c r="A139" i="6"/>
  <c r="I139" i="6"/>
  <c r="A127" i="6"/>
  <c r="I127" i="6"/>
  <c r="A115" i="6"/>
  <c r="I115" i="6"/>
  <c r="A103" i="6"/>
  <c r="I103" i="6"/>
  <c r="A91" i="6"/>
  <c r="I91" i="6"/>
  <c r="A79" i="6"/>
  <c r="I79" i="6"/>
  <c r="A67" i="6"/>
  <c r="I67" i="6"/>
  <c r="A55" i="6"/>
  <c r="I55" i="6"/>
  <c r="A43" i="6"/>
  <c r="I43" i="6"/>
  <c r="A31" i="6"/>
  <c r="I31" i="6"/>
  <c r="I19" i="6"/>
  <c r="I7" i="6"/>
  <c r="A195" i="6"/>
  <c r="I195" i="6"/>
  <c r="A183" i="6"/>
  <c r="I183" i="6"/>
  <c r="A171" i="6"/>
  <c r="I171" i="6"/>
  <c r="A159" i="6"/>
  <c r="I159" i="6"/>
  <c r="A147" i="6"/>
  <c r="I147" i="6"/>
  <c r="A135" i="6"/>
  <c r="I135" i="6"/>
  <c r="A123" i="6"/>
  <c r="I123" i="6"/>
  <c r="A111" i="6"/>
  <c r="I111" i="6"/>
  <c r="A99" i="6"/>
  <c r="I99" i="6"/>
  <c r="A87" i="6"/>
  <c r="I87" i="6"/>
  <c r="A75" i="6"/>
  <c r="I75" i="6"/>
  <c r="A63" i="6"/>
  <c r="I63" i="6"/>
  <c r="A51" i="6"/>
  <c r="I51" i="6"/>
  <c r="A39" i="6"/>
  <c r="I39" i="6"/>
  <c r="A27" i="6"/>
  <c r="I27" i="6"/>
  <c r="I15" i="6"/>
  <c r="I3" i="6"/>
  <c r="A69" i="6"/>
  <c r="I69" i="6"/>
  <c r="A144" i="6"/>
  <c r="I144" i="6"/>
  <c r="A72" i="6"/>
  <c r="I72" i="6"/>
  <c r="A188" i="6"/>
  <c r="I188" i="6"/>
  <c r="A44" i="6"/>
  <c r="I44" i="6"/>
  <c r="A191" i="6"/>
  <c r="I191" i="6"/>
  <c r="A201" i="6"/>
  <c r="I201" i="6"/>
  <c r="A153" i="6"/>
  <c r="I153" i="6"/>
  <c r="A93" i="6"/>
  <c r="I93" i="6"/>
  <c r="A45" i="6"/>
  <c r="I45" i="6"/>
  <c r="I21" i="6"/>
  <c r="A185" i="6"/>
  <c r="I185" i="6"/>
  <c r="A149" i="6"/>
  <c r="I149" i="6"/>
  <c r="A113" i="6"/>
  <c r="I113" i="6"/>
  <c r="A77" i="6"/>
  <c r="I77" i="6"/>
  <c r="I17" i="6"/>
  <c r="A152" i="6"/>
  <c r="I152" i="6"/>
  <c r="A198" i="6"/>
  <c r="I198" i="6"/>
  <c r="A186" i="6"/>
  <c r="I186" i="6"/>
  <c r="A174" i="6"/>
  <c r="I174" i="6"/>
  <c r="A162" i="6"/>
  <c r="I162" i="6"/>
  <c r="A150" i="6"/>
  <c r="I150" i="6"/>
  <c r="A138" i="6"/>
  <c r="I138" i="6"/>
  <c r="A126" i="6"/>
  <c r="I126" i="6"/>
  <c r="A114" i="6"/>
  <c r="I114" i="6"/>
  <c r="A102" i="6"/>
  <c r="I102" i="6"/>
  <c r="A90" i="6"/>
  <c r="I90" i="6"/>
  <c r="A78" i="6"/>
  <c r="I78" i="6"/>
  <c r="A66" i="6"/>
  <c r="I66" i="6"/>
  <c r="A54" i="6"/>
  <c r="I54" i="6"/>
  <c r="A42" i="6"/>
  <c r="I42" i="6"/>
  <c r="A30" i="6"/>
  <c r="I30" i="6"/>
  <c r="I18" i="6"/>
  <c r="I6" i="6"/>
  <c r="A194" i="6"/>
  <c r="I194" i="6"/>
  <c r="A182" i="6"/>
  <c r="I182" i="6"/>
  <c r="A170" i="6"/>
  <c r="I170" i="6"/>
  <c r="A158" i="6"/>
  <c r="I158" i="6"/>
  <c r="A146" i="6"/>
  <c r="I146" i="6"/>
  <c r="A134" i="6"/>
  <c r="I134" i="6"/>
  <c r="A122" i="6"/>
  <c r="I122" i="6"/>
  <c r="A110" i="6"/>
  <c r="I110" i="6"/>
  <c r="A98" i="6"/>
  <c r="I98" i="6"/>
  <c r="A86" i="6"/>
  <c r="I86" i="6"/>
  <c r="A74" i="6"/>
  <c r="I74" i="6"/>
  <c r="A62" i="6"/>
  <c r="I62" i="6"/>
  <c r="A50" i="6"/>
  <c r="I50" i="6"/>
  <c r="A38" i="6"/>
  <c r="I38" i="6"/>
  <c r="A26" i="6"/>
  <c r="I26" i="6"/>
  <c r="I14" i="6"/>
  <c r="C7" i="3"/>
  <c r="C58" i="3"/>
  <c r="C11" i="3"/>
  <c r="C94" i="3"/>
  <c r="C189" i="3"/>
  <c r="C40" i="3"/>
  <c r="C136" i="3"/>
  <c r="C165" i="3"/>
  <c r="C78" i="3"/>
  <c r="C156" i="3"/>
  <c r="C74" i="3"/>
  <c r="C38" i="3"/>
  <c r="C51" i="3"/>
  <c r="C91" i="3"/>
  <c r="C178" i="3"/>
  <c r="C17" i="3"/>
  <c r="C177" i="3"/>
  <c r="C26" i="3"/>
  <c r="C21" i="3"/>
  <c r="C202" i="3"/>
  <c r="C83" i="3"/>
  <c r="C66" i="3"/>
  <c r="C186" i="3"/>
  <c r="C175" i="3"/>
  <c r="C174" i="3"/>
  <c r="C67" i="3"/>
  <c r="C137" i="3"/>
  <c r="C50" i="3"/>
  <c r="C107" i="3"/>
  <c r="C12" i="3"/>
  <c r="C24" i="3"/>
  <c r="C3" i="3"/>
  <c r="C145" i="3"/>
  <c r="C128" i="3"/>
  <c r="C56" i="3"/>
  <c r="C54" i="3"/>
  <c r="C129" i="3"/>
  <c r="C102" i="3"/>
  <c r="C103" i="3"/>
  <c r="C76" i="3"/>
  <c r="C73" i="3"/>
  <c r="C45" i="3"/>
  <c r="C93" i="3"/>
  <c r="C142" i="3"/>
  <c r="C117" i="3"/>
  <c r="C148" i="3"/>
  <c r="C167" i="3"/>
  <c r="C18" i="3"/>
  <c r="C195" i="3"/>
  <c r="C115" i="3"/>
  <c r="C141" i="3"/>
  <c r="C138" i="3"/>
  <c r="C22" i="3"/>
  <c r="C68" i="3"/>
  <c r="C130" i="3"/>
  <c r="C5" i="3"/>
  <c r="C41" i="3"/>
  <c r="C20" i="3"/>
  <c r="C23" i="3"/>
  <c r="C140" i="3"/>
  <c r="C192" i="3"/>
  <c r="C173" i="3"/>
  <c r="C19" i="3"/>
  <c r="C139" i="3"/>
  <c r="C82" i="3"/>
  <c r="C147" i="3"/>
  <c r="C59" i="3"/>
  <c r="C120" i="3"/>
  <c r="C32" i="3"/>
  <c r="C162" i="3"/>
  <c r="C69" i="3"/>
  <c r="C81" i="3"/>
  <c r="C157" i="3"/>
  <c r="C92" i="3"/>
  <c r="C106" i="3"/>
  <c r="C16" i="3"/>
  <c r="C80" i="3"/>
  <c r="C200" i="3"/>
  <c r="C154" i="3"/>
  <c r="C132" i="3"/>
  <c r="C198" i="3"/>
  <c r="C133" i="3"/>
  <c r="C34" i="3"/>
  <c r="C44" i="3"/>
  <c r="C89" i="3"/>
  <c r="C171" i="3"/>
  <c r="C143" i="3"/>
  <c r="C155" i="3"/>
  <c r="C169" i="3"/>
  <c r="C57" i="3"/>
  <c r="C75" i="3"/>
  <c r="C158" i="3"/>
  <c r="C181" i="3"/>
  <c r="C10" i="3"/>
  <c r="C187" i="3"/>
  <c r="C135" i="3"/>
  <c r="C170" i="3"/>
  <c r="C193" i="3"/>
  <c r="C126" i="3"/>
  <c r="C182" i="3"/>
  <c r="C199" i="3"/>
  <c r="C149" i="3"/>
  <c r="C79" i="3"/>
  <c r="C108" i="3"/>
  <c r="C64" i="3"/>
  <c r="C36" i="3"/>
  <c r="C146" i="3"/>
  <c r="C113" i="3"/>
  <c r="C98" i="3"/>
  <c r="C101" i="3"/>
  <c r="C114" i="3"/>
  <c r="C99" i="3"/>
  <c r="C29" i="3"/>
  <c r="C71" i="3"/>
  <c r="C90" i="3"/>
  <c r="C84" i="3"/>
  <c r="C43" i="3"/>
  <c r="C163" i="3"/>
  <c r="C6" i="3"/>
  <c r="C124" i="3"/>
  <c r="C119" i="3"/>
  <c r="C33" i="3"/>
  <c r="C100" i="3"/>
  <c r="C14" i="3"/>
  <c r="C196" i="3"/>
  <c r="C65" i="3"/>
  <c r="C13" i="3"/>
  <c r="C112" i="3"/>
  <c r="C125" i="3"/>
  <c r="C30" i="3"/>
  <c r="C27" i="3"/>
  <c r="C39" i="3"/>
  <c r="C61" i="3"/>
  <c r="C52" i="3"/>
  <c r="C4" i="3"/>
  <c r="C63" i="3"/>
  <c r="C87" i="3"/>
  <c r="C37" i="3"/>
  <c r="C48" i="3"/>
  <c r="C53" i="3"/>
  <c r="C72" i="3"/>
  <c r="C35" i="3"/>
  <c r="C47" i="3"/>
  <c r="C180" i="3"/>
  <c r="C201" i="3"/>
  <c r="C176" i="3"/>
  <c r="C8" i="3"/>
  <c r="C116" i="3"/>
  <c r="C104" i="3"/>
  <c r="C184" i="3"/>
  <c r="C161" i="3"/>
  <c r="C96" i="3"/>
  <c r="C95" i="3"/>
  <c r="C183" i="3"/>
  <c r="C28" i="3"/>
  <c r="C121" i="3"/>
  <c r="C131" i="3"/>
  <c r="C15" i="3"/>
  <c r="C197" i="3"/>
  <c r="C105" i="3"/>
  <c r="C164" i="3"/>
  <c r="C88" i="3"/>
  <c r="C60" i="3"/>
  <c r="C31" i="3"/>
  <c r="C118" i="3"/>
  <c r="C122" i="3"/>
  <c r="C168" i="3"/>
  <c r="C86" i="3"/>
  <c r="C111" i="3"/>
  <c r="C172" i="3"/>
  <c r="C49" i="3"/>
  <c r="C70" i="3"/>
  <c r="C62" i="3"/>
  <c r="C188" i="3"/>
  <c r="C123" i="3"/>
  <c r="C194" i="3"/>
  <c r="C85" i="3"/>
  <c r="C109" i="3"/>
  <c r="C77" i="3"/>
  <c r="C55" i="3"/>
  <c r="C46" i="3"/>
  <c r="C134" i="3"/>
  <c r="C42" i="3"/>
  <c r="C144" i="3"/>
  <c r="C159" i="3"/>
  <c r="C153" i="3"/>
  <c r="C9" i="3"/>
  <c r="C97" i="3"/>
  <c r="C185" i="3"/>
  <c r="C151" i="3"/>
  <c r="C110" i="3"/>
  <c r="C166" i="3"/>
  <c r="C191" i="3"/>
  <c r="C150" i="3"/>
  <c r="C160" i="3"/>
  <c r="C152" i="3"/>
  <c r="C190" i="3"/>
  <c r="C127" i="3"/>
  <c r="C25" i="3"/>
  <c r="C179" i="3"/>
  <c r="G63" i="3"/>
  <c r="G30" i="3"/>
  <c r="D94" i="3"/>
  <c r="F122" i="3"/>
  <c r="D138" i="3"/>
  <c r="G112" i="3"/>
  <c r="F31" i="3"/>
  <c r="G181" i="3"/>
  <c r="E83" i="3"/>
  <c r="G107" i="3"/>
  <c r="E57" i="3"/>
  <c r="G46" i="3"/>
  <c r="D153" i="3"/>
  <c r="D170" i="3"/>
  <c r="E202" i="3"/>
  <c r="G192" i="3"/>
  <c r="F54" i="3"/>
  <c r="G19" i="3"/>
  <c r="G88" i="3"/>
  <c r="G106" i="3"/>
  <c r="F17" i="3"/>
  <c r="E5" i="3"/>
  <c r="D11" i="3"/>
  <c r="F181" i="3"/>
  <c r="G179" i="3"/>
  <c r="E89" i="3"/>
  <c r="G176" i="3"/>
  <c r="F73" i="3"/>
  <c r="D80" i="3"/>
  <c r="G64" i="3"/>
  <c r="D143" i="3"/>
  <c r="F138" i="3"/>
  <c r="D128" i="3"/>
  <c r="E27" i="3"/>
  <c r="G86" i="3"/>
  <c r="F67" i="3"/>
  <c r="D198" i="3"/>
  <c r="F154" i="3"/>
  <c r="F34" i="3"/>
  <c r="E148" i="3"/>
  <c r="D201" i="3"/>
  <c r="E97" i="3"/>
  <c r="G21" i="3"/>
  <c r="D42" i="3"/>
  <c r="E90" i="3"/>
  <c r="D69" i="3"/>
  <c r="D177" i="3"/>
  <c r="D17" i="3"/>
  <c r="E44" i="3"/>
  <c r="F134" i="3"/>
  <c r="G131" i="3"/>
  <c r="F135" i="3"/>
  <c r="E169" i="3"/>
  <c r="F92" i="3"/>
  <c r="F83" i="3"/>
  <c r="G9" i="3"/>
  <c r="E136" i="3"/>
  <c r="D93" i="3"/>
  <c r="G119" i="3"/>
  <c r="G149" i="3"/>
  <c r="D91" i="3"/>
  <c r="G154" i="3"/>
  <c r="G160" i="3"/>
  <c r="D186" i="3"/>
  <c r="D73" i="3"/>
  <c r="F150" i="3"/>
  <c r="G65" i="3"/>
  <c r="D62" i="3"/>
  <c r="F40" i="3"/>
  <c r="D185" i="3"/>
  <c r="D137" i="3"/>
  <c r="F156" i="3"/>
  <c r="G194" i="3"/>
  <c r="D160" i="3"/>
  <c r="E165" i="3"/>
  <c r="D60" i="3"/>
  <c r="G193" i="3"/>
  <c r="G186" i="3"/>
  <c r="E177" i="3"/>
  <c r="E134" i="3"/>
  <c r="E107" i="3"/>
  <c r="G83" i="3"/>
  <c r="E105" i="3"/>
  <c r="G161" i="3"/>
  <c r="D183" i="3"/>
  <c r="F61" i="3"/>
  <c r="F162" i="3"/>
  <c r="F71" i="3"/>
  <c r="D16" i="3"/>
  <c r="D37" i="3"/>
  <c r="D152" i="3"/>
  <c r="G175" i="3"/>
  <c r="G74" i="3"/>
  <c r="G96" i="3"/>
  <c r="G183" i="3"/>
  <c r="F106" i="3"/>
  <c r="D200" i="3"/>
  <c r="E172" i="3"/>
  <c r="G28" i="3"/>
  <c r="G111" i="3"/>
  <c r="G99" i="3"/>
  <c r="E25" i="3"/>
  <c r="G195" i="3"/>
  <c r="G71" i="3"/>
  <c r="F179" i="3"/>
  <c r="E3" i="3"/>
  <c r="G47" i="3"/>
  <c r="D34" i="3"/>
  <c r="E197" i="3"/>
  <c r="F116" i="3"/>
  <c r="E49" i="3"/>
  <c r="F50" i="3"/>
  <c r="D4" i="3"/>
  <c r="D119" i="3"/>
  <c r="E196" i="3"/>
  <c r="F37" i="3"/>
  <c r="E101" i="3"/>
  <c r="G98" i="3"/>
  <c r="D47" i="3"/>
  <c r="G38" i="3"/>
  <c r="E184" i="3"/>
  <c r="D180" i="3"/>
  <c r="G121" i="3"/>
  <c r="E94" i="3"/>
  <c r="D103" i="3"/>
  <c r="D96" i="3"/>
  <c r="E59" i="3"/>
  <c r="G152" i="3"/>
  <c r="G102" i="3"/>
  <c r="D83" i="3"/>
  <c r="E120" i="3"/>
  <c r="F10" i="3"/>
  <c r="F53" i="3"/>
  <c r="F145" i="3"/>
  <c r="D6" i="3"/>
  <c r="F112" i="3"/>
  <c r="D156" i="3"/>
  <c r="D36" i="3"/>
  <c r="F157" i="3"/>
  <c r="E104" i="3"/>
  <c r="E39" i="3"/>
  <c r="D121" i="3"/>
  <c r="G190" i="3"/>
  <c r="F80" i="3"/>
  <c r="D97" i="3"/>
  <c r="E144" i="3"/>
  <c r="F170" i="3"/>
  <c r="F183" i="3"/>
  <c r="E118" i="3"/>
  <c r="D192" i="3"/>
  <c r="D29" i="3"/>
  <c r="G191" i="3"/>
  <c r="F69" i="3"/>
  <c r="F152" i="3"/>
  <c r="G93" i="3"/>
  <c r="D144" i="3"/>
  <c r="G113" i="3"/>
  <c r="F117" i="3"/>
  <c r="E19" i="3"/>
  <c r="G97" i="3"/>
  <c r="F60" i="3"/>
  <c r="D7" i="3"/>
  <c r="G148" i="3"/>
  <c r="G61" i="3"/>
  <c r="G11" i="3"/>
  <c r="D109" i="3"/>
  <c r="E152" i="3"/>
  <c r="D12" i="3"/>
  <c r="E63" i="3"/>
  <c r="F82" i="3"/>
  <c r="G33" i="3"/>
  <c r="E6" i="3"/>
  <c r="G156" i="3"/>
  <c r="F99" i="3"/>
  <c r="D27" i="3"/>
  <c r="D193" i="3"/>
  <c r="D182" i="3"/>
  <c r="F155" i="3"/>
  <c r="G36" i="3"/>
  <c r="E74" i="3"/>
  <c r="D35" i="3"/>
  <c r="G40" i="3"/>
  <c r="F125" i="3"/>
  <c r="E178" i="3"/>
  <c r="G103" i="3"/>
  <c r="D32" i="3"/>
  <c r="F165" i="3"/>
  <c r="D122" i="3"/>
  <c r="E29" i="3"/>
  <c r="D202" i="3"/>
  <c r="E112" i="3"/>
  <c r="G138" i="3"/>
  <c r="D154" i="3"/>
  <c r="D57" i="3"/>
  <c r="G29" i="3"/>
  <c r="G92" i="3"/>
  <c r="E155" i="3"/>
  <c r="D100" i="3"/>
  <c r="F202" i="3"/>
  <c r="F200" i="3"/>
  <c r="D78" i="3"/>
  <c r="E13" i="3"/>
  <c r="E96" i="3"/>
  <c r="G201" i="3"/>
  <c r="D178" i="3"/>
  <c r="F88" i="3"/>
  <c r="F81" i="3"/>
  <c r="E151" i="3"/>
  <c r="E106" i="3"/>
  <c r="D146" i="3"/>
  <c r="D38" i="3"/>
  <c r="F172" i="3"/>
  <c r="D195" i="3"/>
  <c r="G43" i="3"/>
  <c r="E114" i="3"/>
  <c r="G151" i="3"/>
  <c r="G45" i="3"/>
  <c r="E52" i="3"/>
  <c r="F90" i="3"/>
  <c r="E179" i="3"/>
  <c r="D88" i="3"/>
  <c r="G189" i="3"/>
  <c r="F115" i="3"/>
  <c r="F24" i="3"/>
  <c r="G80" i="3"/>
  <c r="E22" i="3"/>
  <c r="G202" i="3"/>
  <c r="F190" i="3"/>
  <c r="D59" i="3"/>
  <c r="F114" i="3"/>
  <c r="F113" i="3"/>
  <c r="G27" i="3"/>
  <c r="F59" i="3"/>
  <c r="F109" i="3"/>
  <c r="F3" i="3"/>
  <c r="G95" i="3"/>
  <c r="E180" i="3"/>
  <c r="F168" i="3"/>
  <c r="G164" i="3"/>
  <c r="D136" i="3"/>
  <c r="F158" i="3"/>
  <c r="D72" i="3"/>
  <c r="E68" i="3"/>
  <c r="E48" i="3"/>
  <c r="E70" i="3"/>
  <c r="E162" i="3"/>
  <c r="F30" i="3"/>
  <c r="G130" i="3"/>
  <c r="F100" i="3"/>
  <c r="E200" i="3"/>
  <c r="E88" i="3"/>
  <c r="D54" i="3"/>
  <c r="D131" i="3"/>
  <c r="F146" i="3"/>
  <c r="E45" i="3"/>
  <c r="E189" i="3"/>
  <c r="D133" i="3"/>
  <c r="D164" i="3"/>
  <c r="D79" i="3"/>
  <c r="E16" i="3"/>
  <c r="F84" i="3"/>
  <c r="E17" i="3"/>
  <c r="G150" i="3"/>
  <c r="G5" i="3"/>
  <c r="D61" i="3"/>
  <c r="E61" i="3"/>
  <c r="F36" i="3"/>
  <c r="D14" i="3"/>
  <c r="E176" i="3"/>
  <c r="F13" i="3"/>
  <c r="E139" i="3"/>
  <c r="G34" i="3"/>
  <c r="F45" i="3"/>
  <c r="F29" i="3"/>
  <c r="F48" i="3"/>
  <c r="G68" i="3"/>
  <c r="D115" i="3"/>
  <c r="E8" i="3"/>
  <c r="E46" i="3"/>
  <c r="G134" i="3"/>
  <c r="D77" i="3"/>
  <c r="E146" i="3"/>
  <c r="G136" i="3"/>
  <c r="F141" i="3"/>
  <c r="G69" i="3"/>
  <c r="F43" i="3"/>
  <c r="E100" i="3"/>
  <c r="G25" i="3"/>
  <c r="E30" i="3"/>
  <c r="G20" i="3"/>
  <c r="F105" i="3"/>
  <c r="E129" i="3"/>
  <c r="E86" i="3"/>
  <c r="D173" i="3"/>
  <c r="E4" i="3"/>
  <c r="D172" i="3"/>
  <c r="F178" i="3"/>
  <c r="E164" i="3"/>
  <c r="E174" i="3"/>
  <c r="G16" i="3"/>
  <c r="E127" i="3"/>
  <c r="F5" i="3"/>
  <c r="G145" i="3"/>
  <c r="F185" i="3"/>
  <c r="F72" i="3"/>
  <c r="D25" i="3"/>
  <c r="E7" i="3"/>
  <c r="F126" i="3"/>
  <c r="F8" i="3"/>
  <c r="D39" i="3"/>
  <c r="G197" i="3"/>
  <c r="D89" i="3"/>
  <c r="F197" i="3"/>
  <c r="G101" i="3"/>
  <c r="D169" i="3"/>
  <c r="E150" i="3"/>
  <c r="F22" i="3"/>
  <c r="E167" i="3"/>
  <c r="E138" i="3"/>
  <c r="G163" i="3"/>
  <c r="E131" i="3"/>
  <c r="D56" i="3"/>
  <c r="F94" i="3"/>
  <c r="F182" i="3"/>
  <c r="F173" i="3"/>
  <c r="G115" i="3"/>
  <c r="D184" i="3"/>
  <c r="D30" i="3"/>
  <c r="E149" i="3"/>
  <c r="F107" i="3"/>
  <c r="G116" i="3"/>
  <c r="D74" i="3"/>
  <c r="E190" i="3"/>
  <c r="F68" i="3"/>
  <c r="G153" i="3"/>
  <c r="E145" i="3"/>
  <c r="G39" i="3"/>
  <c r="E62" i="3"/>
  <c r="E117" i="3"/>
  <c r="G142" i="3"/>
  <c r="F131" i="3"/>
  <c r="G117" i="3"/>
  <c r="D191" i="3"/>
  <c r="D51" i="3"/>
  <c r="G17" i="3"/>
  <c r="E183" i="3"/>
  <c r="D71" i="3"/>
  <c r="F143" i="3"/>
  <c r="F192" i="3"/>
  <c r="G49" i="3"/>
  <c r="E23" i="3"/>
  <c r="G110" i="3"/>
  <c r="G167" i="3"/>
  <c r="G159" i="3"/>
  <c r="D149" i="3"/>
  <c r="F171" i="3"/>
  <c r="G196" i="3"/>
  <c r="D155" i="3"/>
  <c r="G53" i="3"/>
  <c r="E75" i="3"/>
  <c r="D129" i="3"/>
  <c r="F151" i="3"/>
  <c r="F33" i="3"/>
  <c r="E103" i="3"/>
  <c r="F79" i="3"/>
  <c r="F23" i="3"/>
  <c r="F95" i="3"/>
  <c r="D110" i="3"/>
  <c r="D157" i="3"/>
  <c r="G141" i="3"/>
  <c r="D46" i="3"/>
  <c r="G15" i="3"/>
  <c r="G48" i="3"/>
  <c r="F6" i="3"/>
  <c r="G4" i="3"/>
  <c r="G66" i="3"/>
  <c r="D55" i="3"/>
  <c r="F174" i="3"/>
  <c r="F199" i="3"/>
  <c r="E64" i="3"/>
  <c r="D22" i="3"/>
  <c r="D108" i="3"/>
  <c r="D5" i="3"/>
  <c r="G171" i="3"/>
  <c r="F101" i="3"/>
  <c r="G91" i="3"/>
  <c r="G82" i="3"/>
  <c r="F44" i="3"/>
  <c r="D68" i="3"/>
  <c r="F191" i="3"/>
  <c r="G77" i="3"/>
  <c r="D188" i="3"/>
  <c r="F14" i="3"/>
  <c r="G174" i="3"/>
  <c r="F15" i="3"/>
  <c r="F147" i="3"/>
  <c r="F128" i="3"/>
  <c r="D107" i="3"/>
  <c r="E11" i="3"/>
  <c r="D194" i="3"/>
  <c r="F85" i="3"/>
  <c r="E116" i="3"/>
  <c r="D106" i="3"/>
  <c r="E66" i="3"/>
  <c r="E91" i="3"/>
  <c r="G162" i="3"/>
  <c r="D9" i="3"/>
  <c r="E33" i="3"/>
  <c r="D199" i="3"/>
  <c r="G177" i="3"/>
  <c r="F104" i="3"/>
  <c r="G78" i="3"/>
  <c r="G180" i="3"/>
  <c r="D123" i="3"/>
  <c r="E147" i="3"/>
  <c r="G57" i="3"/>
  <c r="F32" i="3"/>
  <c r="E188" i="3"/>
  <c r="D21" i="3"/>
  <c r="E102" i="3"/>
  <c r="D66" i="3"/>
  <c r="E24" i="3"/>
  <c r="E181" i="3"/>
  <c r="F201" i="3"/>
  <c r="D75" i="3"/>
  <c r="D65" i="3"/>
  <c r="D148" i="3"/>
  <c r="E170" i="3"/>
  <c r="G35" i="3"/>
  <c r="F76" i="3"/>
  <c r="F35" i="3"/>
  <c r="G41" i="3"/>
  <c r="F65" i="3"/>
  <c r="E41" i="3"/>
  <c r="E194" i="3"/>
  <c r="G120" i="3"/>
  <c r="G94" i="3"/>
  <c r="F21" i="3"/>
  <c r="G199" i="3"/>
  <c r="D49" i="3"/>
  <c r="F119" i="3"/>
  <c r="D105" i="3"/>
  <c r="G50" i="3"/>
  <c r="E168" i="3"/>
  <c r="G187" i="3"/>
  <c r="D53" i="3"/>
  <c r="D167" i="3"/>
  <c r="F98" i="3"/>
  <c r="E56" i="3"/>
  <c r="G24" i="3"/>
  <c r="G90" i="3"/>
  <c r="D82" i="3"/>
  <c r="F196" i="3"/>
  <c r="E87" i="3"/>
  <c r="E186" i="3"/>
  <c r="D190" i="3"/>
  <c r="E51" i="3"/>
  <c r="E40" i="3"/>
  <c r="G124" i="3"/>
  <c r="G128" i="3"/>
  <c r="E99" i="3"/>
  <c r="F86" i="3"/>
  <c r="G105" i="3"/>
  <c r="D124" i="3"/>
  <c r="G81" i="3"/>
  <c r="E53" i="3"/>
  <c r="F57" i="3"/>
  <c r="D44" i="3"/>
  <c r="F19" i="3"/>
  <c r="G133" i="3"/>
  <c r="G168" i="3"/>
  <c r="F187" i="3"/>
  <c r="F142" i="3"/>
  <c r="D98" i="3"/>
  <c r="G37" i="3"/>
  <c r="G8" i="3"/>
  <c r="F108" i="3"/>
  <c r="E65" i="3"/>
  <c r="D84" i="3"/>
  <c r="G32" i="3"/>
  <c r="G169" i="3"/>
  <c r="G70" i="3"/>
  <c r="G114" i="3"/>
  <c r="G89" i="3"/>
  <c r="G157" i="3"/>
  <c r="D64" i="3"/>
  <c r="D117" i="3"/>
  <c r="F96" i="3"/>
  <c r="G72" i="3"/>
  <c r="G126" i="3"/>
  <c r="G178" i="3"/>
  <c r="E31" i="3"/>
  <c r="F136" i="3"/>
  <c r="D31" i="3"/>
  <c r="G56" i="3"/>
  <c r="F148" i="3"/>
  <c r="E92" i="3"/>
  <c r="F160" i="3"/>
  <c r="G12" i="3"/>
  <c r="E55" i="3"/>
  <c r="D41" i="3"/>
  <c r="G87" i="3"/>
  <c r="G31" i="3"/>
  <c r="G73" i="3"/>
  <c r="E175" i="3"/>
  <c r="F184" i="3"/>
  <c r="G165" i="3"/>
  <c r="E141" i="3"/>
  <c r="G158" i="3"/>
  <c r="G122" i="3"/>
  <c r="G44" i="3"/>
  <c r="E81" i="3"/>
  <c r="E37" i="3"/>
  <c r="E35" i="3"/>
  <c r="E72" i="3"/>
  <c r="E159" i="3"/>
  <c r="G10" i="3"/>
  <c r="D141" i="3"/>
  <c r="D33" i="3"/>
  <c r="E36" i="3"/>
  <c r="E71" i="3"/>
  <c r="D26" i="3"/>
  <c r="F77" i="3"/>
  <c r="E50" i="3"/>
  <c r="G54" i="3"/>
  <c r="F26" i="3"/>
  <c r="D45" i="3"/>
  <c r="F195" i="3"/>
  <c r="E54" i="3"/>
  <c r="F121" i="3"/>
  <c r="G188" i="3"/>
  <c r="D127" i="3"/>
  <c r="F51" i="3"/>
  <c r="D197" i="3"/>
  <c r="D168" i="3"/>
  <c r="G173" i="3"/>
  <c r="F193" i="3"/>
  <c r="G85" i="3"/>
  <c r="G129" i="3"/>
  <c r="G75" i="3"/>
  <c r="G172" i="3"/>
  <c r="E21" i="3"/>
  <c r="D10" i="3"/>
  <c r="E47" i="3"/>
  <c r="G144" i="3"/>
  <c r="F55" i="3"/>
  <c r="D163" i="3"/>
  <c r="G200" i="3"/>
  <c r="E79" i="3"/>
  <c r="D150" i="3"/>
  <c r="D113" i="3"/>
  <c r="F123" i="3"/>
  <c r="E191" i="3"/>
  <c r="G170" i="3"/>
  <c r="D181" i="3"/>
  <c r="D189" i="3"/>
  <c r="E166" i="3"/>
  <c r="D15" i="3"/>
  <c r="D140" i="3"/>
  <c r="G76" i="3"/>
  <c r="E192" i="3"/>
  <c r="E115" i="3"/>
  <c r="D139" i="3"/>
  <c r="D85" i="3"/>
  <c r="D76" i="3"/>
  <c r="E133" i="3"/>
  <c r="I2" i="6"/>
  <c r="G51" i="3"/>
  <c r="F133" i="3"/>
  <c r="D120" i="3"/>
  <c r="E140" i="3"/>
  <c r="D48" i="3"/>
  <c r="F149" i="3"/>
  <c r="E26" i="3"/>
  <c r="E157" i="3"/>
  <c r="F161" i="3"/>
  <c r="D52" i="3"/>
  <c r="F103" i="3"/>
  <c r="D90" i="3"/>
  <c r="G125" i="3"/>
  <c r="D130" i="3"/>
  <c r="D86" i="3"/>
  <c r="E58" i="3"/>
  <c r="G109" i="3"/>
  <c r="E20" i="3"/>
  <c r="D70" i="3"/>
  <c r="G185" i="3"/>
  <c r="D3" i="3"/>
  <c r="G143" i="3"/>
  <c r="E67" i="3"/>
  <c r="G22" i="3"/>
  <c r="E9" i="3"/>
  <c r="E14" i="3"/>
  <c r="F18" i="3"/>
  <c r="D101" i="3"/>
  <c r="E82" i="3"/>
  <c r="F139" i="3"/>
  <c r="G79" i="3"/>
  <c r="E85" i="3"/>
  <c r="F42" i="3"/>
  <c r="E143" i="3"/>
  <c r="F176" i="3"/>
  <c r="F167" i="3"/>
  <c r="G84" i="3"/>
  <c r="F25" i="3"/>
  <c r="F175" i="3"/>
  <c r="D87" i="3"/>
  <c r="D19" i="3"/>
  <c r="G139" i="3"/>
  <c r="F16" i="3"/>
  <c r="E171" i="3"/>
  <c r="F38" i="3"/>
  <c r="E15" i="3"/>
  <c r="G198" i="3"/>
  <c r="G18" i="3"/>
  <c r="G13" i="3"/>
  <c r="F47" i="3"/>
  <c r="E125" i="3"/>
  <c r="E193" i="3"/>
  <c r="G100" i="3"/>
  <c r="D102" i="3"/>
  <c r="F169" i="3"/>
  <c r="E77" i="3"/>
  <c r="F144" i="3"/>
  <c r="G132" i="3"/>
  <c r="F56" i="3"/>
  <c r="D171" i="3"/>
  <c r="D63" i="3"/>
  <c r="D50" i="3"/>
  <c r="D116" i="3"/>
  <c r="G7" i="3"/>
  <c r="E121" i="3"/>
  <c r="E12" i="3"/>
  <c r="F64" i="3"/>
  <c r="D99" i="3"/>
  <c r="G118" i="3"/>
  <c r="F153" i="3"/>
  <c r="F124" i="3"/>
  <c r="D114" i="3"/>
  <c r="F180" i="3"/>
  <c r="D166" i="3"/>
  <c r="E10" i="3"/>
  <c r="G108" i="3"/>
  <c r="D158" i="3"/>
  <c r="D145" i="3"/>
  <c r="E84" i="3"/>
  <c r="E182" i="3"/>
  <c r="F41" i="3"/>
  <c r="F93" i="3"/>
  <c r="F97" i="3"/>
  <c r="F4" i="3"/>
  <c r="G166" i="3"/>
  <c r="F164" i="3"/>
  <c r="F140" i="3"/>
  <c r="F27" i="3"/>
  <c r="G146" i="3"/>
  <c r="E199" i="3"/>
  <c r="F28" i="3"/>
  <c r="G59" i="3"/>
  <c r="D161" i="3"/>
  <c r="G182" i="3"/>
  <c r="D176" i="3"/>
  <c r="D118" i="3"/>
  <c r="G123" i="3"/>
  <c r="F74" i="3"/>
  <c r="F20" i="3"/>
  <c r="G14" i="3"/>
  <c r="E163" i="3"/>
  <c r="F58" i="3"/>
  <c r="F78" i="3"/>
  <c r="D81" i="3"/>
  <c r="F89" i="3"/>
  <c r="E78" i="3"/>
  <c r="F102" i="3"/>
  <c r="E122" i="3"/>
  <c r="F159" i="3"/>
  <c r="D18" i="3"/>
  <c r="G184" i="3"/>
  <c r="D111" i="3"/>
  <c r="E198" i="3"/>
  <c r="D13" i="3"/>
  <c r="D187" i="3"/>
  <c r="E76" i="3"/>
  <c r="D125" i="3"/>
  <c r="G67" i="3"/>
  <c r="E93" i="3"/>
  <c r="E160" i="3"/>
  <c r="E69" i="3"/>
  <c r="G104" i="3"/>
  <c r="E60" i="3"/>
  <c r="F127" i="3"/>
  <c r="F66" i="3"/>
  <c r="D132" i="3"/>
  <c r="F39" i="3"/>
  <c r="F137" i="3"/>
  <c r="G60" i="3"/>
  <c r="D112" i="3"/>
  <c r="F163" i="3"/>
  <c r="F166" i="3"/>
  <c r="E201" i="3"/>
  <c r="G140" i="3"/>
  <c r="F130" i="3"/>
  <c r="D196" i="3"/>
  <c r="G135" i="3"/>
  <c r="G58" i="3"/>
  <c r="E124" i="3"/>
  <c r="D174" i="3"/>
  <c r="E18" i="3"/>
  <c r="E132" i="3"/>
  <c r="F198" i="3"/>
  <c r="E73" i="3"/>
  <c r="E109" i="3"/>
  <c r="E113" i="3"/>
  <c r="G52" i="3"/>
  <c r="F7" i="3"/>
  <c r="E119" i="3"/>
  <c r="F188" i="3"/>
  <c r="D28" i="3"/>
  <c r="F194" i="3"/>
  <c r="D40" i="3"/>
  <c r="E108" i="3"/>
  <c r="E187" i="3"/>
  <c r="E34" i="3"/>
  <c r="D23" i="3"/>
  <c r="F49" i="3"/>
  <c r="F87" i="3"/>
  <c r="D92" i="3"/>
  <c r="D159" i="3"/>
  <c r="F52" i="3"/>
  <c r="F46" i="3"/>
  <c r="E195" i="3"/>
  <c r="F186" i="3"/>
  <c r="F110" i="3"/>
  <c r="F177" i="3"/>
  <c r="E153" i="3"/>
  <c r="E110" i="3"/>
  <c r="E135" i="3"/>
  <c r="D43" i="3"/>
  <c r="E154" i="3"/>
  <c r="D67" i="3"/>
  <c r="F9" i="3"/>
  <c r="E80" i="3"/>
  <c r="G23" i="3"/>
  <c r="E173" i="3"/>
  <c r="D8" i="3"/>
  <c r="F189" i="3"/>
  <c r="D95" i="3"/>
  <c r="E142" i="3"/>
  <c r="E32" i="3"/>
  <c r="E38" i="3"/>
  <c r="D126" i="3"/>
  <c r="D20" i="3"/>
  <c r="F91" i="3"/>
  <c r="E126" i="3"/>
  <c r="E98" i="3"/>
  <c r="G26" i="3"/>
  <c r="E158" i="3"/>
  <c r="D151" i="3"/>
  <c r="F12" i="3"/>
  <c r="F75" i="3"/>
  <c r="D147" i="3"/>
  <c r="E185" i="3"/>
  <c r="E128" i="3"/>
  <c r="E42" i="3"/>
  <c r="D135" i="3"/>
  <c r="G137" i="3"/>
  <c r="E95" i="3"/>
  <c r="G55" i="3"/>
  <c r="F11" i="3"/>
  <c r="F63" i="3"/>
  <c r="D24" i="3"/>
  <c r="E156" i="3"/>
  <c r="F62" i="3"/>
  <c r="D165" i="3"/>
  <c r="D58" i="3"/>
  <c r="E130" i="3"/>
  <c r="D179" i="3"/>
  <c r="G62" i="3"/>
  <c r="E137" i="3"/>
  <c r="G155" i="3"/>
  <c r="F129" i="3"/>
  <c r="E161" i="3"/>
  <c r="D104" i="3"/>
  <c r="G127" i="3"/>
  <c r="G6" i="3"/>
  <c r="E28" i="3"/>
  <c r="F111" i="3"/>
  <c r="G147" i="3"/>
  <c r="E123" i="3"/>
  <c r="D175" i="3"/>
  <c r="F120" i="3"/>
  <c r="G3" i="3"/>
  <c r="D142" i="3"/>
  <c r="F70" i="3"/>
  <c r="E43" i="3"/>
  <c r="D162" i="3"/>
  <c r="D134" i="3"/>
  <c r="E111" i="3"/>
  <c r="G42" i="3"/>
  <c r="F118" i="3"/>
  <c r="F132" i="3"/>
  <c r="H196" i="3" l="1"/>
  <c r="X196" i="3" s="1"/>
  <c r="Y196" i="3" s="1"/>
  <c r="H162" i="3"/>
  <c r="H128" i="3"/>
  <c r="H145" i="3"/>
  <c r="H165" i="3"/>
  <c r="X165" i="3" s="1"/>
  <c r="Y165" i="3" s="1"/>
  <c r="H168" i="3"/>
  <c r="H10" i="3"/>
  <c r="X10" i="3" s="1"/>
  <c r="Y10" i="3" s="1"/>
  <c r="H159" i="3"/>
  <c r="X159" i="3" s="1"/>
  <c r="Y159" i="3" s="1"/>
  <c r="H71" i="3"/>
  <c r="X71" i="3" s="1"/>
  <c r="Y71" i="3" s="1"/>
  <c r="H104" i="3"/>
  <c r="X104" i="3" s="1"/>
  <c r="Y104" i="3" s="1"/>
  <c r="H5" i="3"/>
  <c r="X5" i="3" s="1"/>
  <c r="Y5" i="3" s="1"/>
  <c r="H113" i="3"/>
  <c r="X113" i="3" s="1"/>
  <c r="Y113" i="3" s="1"/>
  <c r="H50" i="3"/>
  <c r="X50" i="3" s="1"/>
  <c r="Y50" i="3" s="1"/>
  <c r="H151" i="3"/>
  <c r="X151" i="3" s="1"/>
  <c r="Y151" i="3" s="1"/>
  <c r="A14" i="6"/>
  <c r="A6" i="6"/>
  <c r="A18" i="6"/>
  <c r="A17" i="6"/>
  <c r="A21" i="6"/>
  <c r="A3" i="6"/>
  <c r="A15" i="6"/>
  <c r="A7" i="6"/>
  <c r="A19" i="6"/>
  <c r="A20" i="6"/>
  <c r="A4" i="6"/>
  <c r="A16" i="6"/>
  <c r="A8" i="6"/>
  <c r="A9" i="6"/>
  <c r="A5" i="6"/>
  <c r="A10" i="6"/>
  <c r="A22" i="6"/>
  <c r="A11" i="6"/>
  <c r="A23" i="6"/>
  <c r="A12" i="6"/>
  <c r="A13" i="6"/>
  <c r="H132" i="3"/>
  <c r="X132" i="3" s="1"/>
  <c r="Y132" i="3" s="1"/>
  <c r="H187" i="3"/>
  <c r="X187" i="3" s="1"/>
  <c r="Y187" i="3" s="1"/>
  <c r="H161" i="3"/>
  <c r="X161" i="3" s="1"/>
  <c r="Y161" i="3" s="1"/>
  <c r="H158" i="3"/>
  <c r="X158" i="3" s="1"/>
  <c r="Y158" i="3" s="1"/>
  <c r="H63" i="3"/>
  <c r="X63" i="3" s="1"/>
  <c r="Y63" i="3" s="1"/>
  <c r="H125" i="3"/>
  <c r="X125" i="3" s="1"/>
  <c r="Y125" i="3" s="1"/>
  <c r="H87" i="3"/>
  <c r="X87" i="3" s="1"/>
  <c r="Y87" i="3" s="1"/>
  <c r="H52" i="3"/>
  <c r="X52" i="3" s="1"/>
  <c r="Y52" i="3" s="1"/>
  <c r="H15" i="3"/>
  <c r="X15" i="3" s="1"/>
  <c r="Y15" i="3" s="1"/>
  <c r="H163" i="3"/>
  <c r="H26" i="3"/>
  <c r="X26" i="3" s="1"/>
  <c r="Y26" i="3" s="1"/>
  <c r="H98" i="3"/>
  <c r="X98" i="3" s="1"/>
  <c r="Y98" i="3" s="1"/>
  <c r="H124" i="3"/>
  <c r="X124" i="3" s="1"/>
  <c r="Y124" i="3" s="1"/>
  <c r="H167" i="3"/>
  <c r="X167" i="3" s="1"/>
  <c r="Y167" i="3" s="1"/>
  <c r="H53" i="3"/>
  <c r="X53" i="3" s="1"/>
  <c r="Y53" i="3" s="1"/>
  <c r="H170" i="3"/>
  <c r="X170" i="3" s="1"/>
  <c r="Y170" i="3" s="1"/>
  <c r="H123" i="3"/>
  <c r="H64" i="3"/>
  <c r="X64" i="3" s="1"/>
  <c r="Y64" i="3" s="1"/>
  <c r="H110" i="3"/>
  <c r="X110" i="3" s="1"/>
  <c r="Y110" i="3" s="1"/>
  <c r="H23" i="3"/>
  <c r="X23" i="3" s="1"/>
  <c r="Y23" i="3" s="1"/>
  <c r="H171" i="3"/>
  <c r="X171" i="3" s="1"/>
  <c r="Y171" i="3" s="1"/>
  <c r="H190" i="3"/>
  <c r="X190" i="3" s="1"/>
  <c r="Y190" i="3" s="1"/>
  <c r="H56" i="3"/>
  <c r="X56" i="3" s="1"/>
  <c r="Y56" i="3" s="1"/>
  <c r="H39" i="3"/>
  <c r="X39" i="3" s="1"/>
  <c r="Y39" i="3" s="1"/>
  <c r="H25" i="3"/>
  <c r="X25" i="3" s="1"/>
  <c r="Y25" i="3" s="1"/>
  <c r="H172" i="3"/>
  <c r="X172" i="3" s="1"/>
  <c r="Y172" i="3" s="1"/>
  <c r="H34" i="3"/>
  <c r="X34" i="3" s="1"/>
  <c r="Y34" i="3" s="1"/>
  <c r="H139" i="3"/>
  <c r="X139" i="3" s="1"/>
  <c r="Y139" i="3" s="1"/>
  <c r="H14" i="3"/>
  <c r="X14" i="3" s="1"/>
  <c r="Y14" i="3" s="1"/>
  <c r="H84" i="3"/>
  <c r="X84" i="3" s="1"/>
  <c r="Y84" i="3" s="1"/>
  <c r="H79" i="3"/>
  <c r="H164" i="3"/>
  <c r="X164" i="3" s="1"/>
  <c r="Y164" i="3" s="1"/>
  <c r="H180" i="3"/>
  <c r="X180" i="3" s="1"/>
  <c r="Y180" i="3" s="1"/>
  <c r="H109" i="3"/>
  <c r="X109" i="3" s="1"/>
  <c r="Y109" i="3" s="1"/>
  <c r="H38" i="3"/>
  <c r="X38" i="3" s="1"/>
  <c r="Y38" i="3" s="1"/>
  <c r="H122" i="3"/>
  <c r="X122" i="3" s="1"/>
  <c r="Y122" i="3" s="1"/>
  <c r="H32" i="3"/>
  <c r="X32" i="3" s="1"/>
  <c r="Y32" i="3" s="1"/>
  <c r="H35" i="3"/>
  <c r="X35" i="3" s="1"/>
  <c r="Y35" i="3" s="1"/>
  <c r="H182" i="3"/>
  <c r="X182" i="3" s="1"/>
  <c r="Y182" i="3" s="1"/>
  <c r="H27" i="3"/>
  <c r="X27" i="3" s="1"/>
  <c r="Y27" i="3" s="1"/>
  <c r="H29" i="3"/>
  <c r="H59" i="3"/>
  <c r="X59" i="3" s="1"/>
  <c r="Y59" i="3" s="1"/>
  <c r="H103" i="3"/>
  <c r="X103" i="3" s="1"/>
  <c r="Y103" i="3" s="1"/>
  <c r="H119" i="3"/>
  <c r="X119" i="3" s="1"/>
  <c r="Y119" i="3" s="1"/>
  <c r="H183" i="3"/>
  <c r="X183" i="3" s="1"/>
  <c r="Y183" i="3" s="1"/>
  <c r="H177" i="3"/>
  <c r="X177" i="3" s="1"/>
  <c r="Y177" i="3" s="1"/>
  <c r="H60" i="3"/>
  <c r="X60" i="3" s="1"/>
  <c r="Y60" i="3" s="1"/>
  <c r="H62" i="3"/>
  <c r="X62" i="3" s="1"/>
  <c r="Y62" i="3" s="1"/>
  <c r="H65" i="3"/>
  <c r="X65" i="3" s="1"/>
  <c r="Y65" i="3" s="1"/>
  <c r="H9" i="3"/>
  <c r="X9" i="3" s="1"/>
  <c r="Y9" i="3" s="1"/>
  <c r="H83" i="3"/>
  <c r="X83" i="3" s="1"/>
  <c r="Y83" i="3" s="1"/>
  <c r="H69" i="3"/>
  <c r="X69" i="3" s="1"/>
  <c r="Y69" i="3" s="1"/>
  <c r="H54" i="3"/>
  <c r="X54" i="3" s="1"/>
  <c r="Y54" i="3" s="1"/>
  <c r="H138" i="3"/>
  <c r="X138" i="3" s="1"/>
  <c r="Y138" i="3" s="1"/>
  <c r="H160" i="3"/>
  <c r="X160" i="3" s="1"/>
  <c r="Y160" i="3" s="1"/>
  <c r="H166" i="3"/>
  <c r="X166" i="3" s="1"/>
  <c r="Y166" i="3" s="1"/>
  <c r="H97" i="3"/>
  <c r="X97" i="3" s="1"/>
  <c r="Y97" i="3" s="1"/>
  <c r="H153" i="3"/>
  <c r="X153" i="3" s="1"/>
  <c r="Y153" i="3" s="1"/>
  <c r="H42" i="3"/>
  <c r="X42" i="3" s="1"/>
  <c r="Y42" i="3" s="1"/>
  <c r="H46" i="3"/>
  <c r="X46" i="3" s="1"/>
  <c r="Y46" i="3" s="1"/>
  <c r="H55" i="3"/>
  <c r="X55" i="3" s="1"/>
  <c r="Y55" i="3" s="1"/>
  <c r="H194" i="3"/>
  <c r="X194" i="3" s="1"/>
  <c r="Y194" i="3" s="1"/>
  <c r="H49" i="3"/>
  <c r="X49" i="3" s="1"/>
  <c r="Y49" i="3" s="1"/>
  <c r="H86" i="3"/>
  <c r="X86" i="3" s="1"/>
  <c r="Y86" i="3" s="1"/>
  <c r="H31" i="3"/>
  <c r="X31" i="3" s="1"/>
  <c r="Y31" i="3" s="1"/>
  <c r="H197" i="3"/>
  <c r="X197" i="3" s="1"/>
  <c r="Y197" i="3" s="1"/>
  <c r="H121" i="3"/>
  <c r="X121" i="3" s="1"/>
  <c r="Y121" i="3" s="1"/>
  <c r="H96" i="3"/>
  <c r="X96" i="3" s="1"/>
  <c r="Y96" i="3" s="1"/>
  <c r="H8" i="3"/>
  <c r="X8" i="3" s="1"/>
  <c r="Y8" i="3" s="1"/>
  <c r="H48" i="3"/>
  <c r="X48" i="3" s="1"/>
  <c r="Y48" i="3" s="1"/>
  <c r="H13" i="3"/>
  <c r="X13" i="3" s="1"/>
  <c r="Y13" i="3" s="1"/>
  <c r="H33" i="3"/>
  <c r="X33" i="3" s="1"/>
  <c r="Y33" i="3" s="1"/>
  <c r="H6" i="3"/>
  <c r="X6" i="3" s="1"/>
  <c r="Y6" i="3" s="1"/>
  <c r="H43" i="3"/>
  <c r="X43" i="3" s="1"/>
  <c r="Y43" i="3" s="1"/>
  <c r="H114" i="3"/>
  <c r="X114" i="3" s="1"/>
  <c r="Y114" i="3" s="1"/>
  <c r="H36" i="3"/>
  <c r="X36" i="3" s="1"/>
  <c r="Y36" i="3" s="1"/>
  <c r="H133" i="3"/>
  <c r="H80" i="3"/>
  <c r="X80" i="3" s="1"/>
  <c r="Y80" i="3" s="1"/>
  <c r="H92" i="3"/>
  <c r="H140" i="3"/>
  <c r="X140" i="3" s="1"/>
  <c r="Y140" i="3" s="1"/>
  <c r="H45" i="3"/>
  <c r="X45" i="3" s="1"/>
  <c r="Y45" i="3" s="1"/>
  <c r="H24" i="3"/>
  <c r="X24" i="3" s="1"/>
  <c r="Y24" i="3" s="1"/>
  <c r="H178" i="3"/>
  <c r="X178" i="3" s="1"/>
  <c r="Y178" i="3" s="1"/>
  <c r="H94" i="3"/>
  <c r="X94" i="3" s="1"/>
  <c r="Y94" i="3" s="1"/>
  <c r="H11" i="3"/>
  <c r="X11" i="3" s="1"/>
  <c r="Y11" i="3" s="1"/>
  <c r="H7" i="3"/>
  <c r="X7" i="3" s="1"/>
  <c r="Y7" i="3" s="1"/>
  <c r="X145" i="3"/>
  <c r="Y145" i="3" s="1"/>
  <c r="X128" i="3"/>
  <c r="Y128" i="3" s="1"/>
  <c r="X163" i="3"/>
  <c r="Y163" i="3" s="1"/>
  <c r="X79" i="3"/>
  <c r="Y79" i="3" s="1"/>
  <c r="X29" i="3"/>
  <c r="Y29" i="3" s="1"/>
  <c r="X162" i="3"/>
  <c r="Y162" i="3" s="1"/>
  <c r="X92" i="3"/>
  <c r="Y92" i="3" s="1"/>
  <c r="H37" i="3"/>
  <c r="H88" i="3"/>
  <c r="H111" i="3"/>
  <c r="H193" i="3"/>
  <c r="H117" i="3"/>
  <c r="H176" i="3"/>
  <c r="H72" i="3"/>
  <c r="H185" i="3"/>
  <c r="H85" i="3"/>
  <c r="H118" i="3"/>
  <c r="H95" i="3"/>
  <c r="H44" i="3"/>
  <c r="H68" i="3"/>
  <c r="H156" i="3"/>
  <c r="H141" i="3"/>
  <c r="H115" i="3"/>
  <c r="H57" i="3"/>
  <c r="H142" i="3"/>
  <c r="H186" i="3"/>
  <c r="H99" i="3"/>
  <c r="H90" i="3"/>
  <c r="H131" i="3"/>
  <c r="H201" i="3"/>
  <c r="H169" i="3"/>
  <c r="H106" i="3"/>
  <c r="H20" i="3"/>
  <c r="H174" i="3"/>
  <c r="H112" i="3"/>
  <c r="H76" i="3"/>
  <c r="H61" i="3"/>
  <c r="H41" i="3"/>
  <c r="H195" i="3"/>
  <c r="H175" i="3"/>
  <c r="H40" i="3"/>
  <c r="H12" i="3"/>
  <c r="H188" i="3"/>
  <c r="H184" i="3"/>
  <c r="H130" i="3"/>
  <c r="H89" i="3"/>
  <c r="H179" i="3"/>
  <c r="H18" i="3"/>
  <c r="H17" i="3"/>
  <c r="X123" i="3"/>
  <c r="Y123" i="3" s="1"/>
  <c r="H127" i="3"/>
  <c r="H74" i="3"/>
  <c r="H120" i="3"/>
  <c r="H30" i="3"/>
  <c r="H16" i="3"/>
  <c r="H47" i="3"/>
  <c r="H152" i="3"/>
  <c r="H144" i="3"/>
  <c r="H70" i="3"/>
  <c r="H105" i="3"/>
  <c r="H116" i="3"/>
  <c r="H149" i="3"/>
  <c r="H155" i="3"/>
  <c r="H154" i="3"/>
  <c r="H173" i="3"/>
  <c r="H102" i="3"/>
  <c r="X168" i="3"/>
  <c r="Y168" i="3" s="1"/>
  <c r="H146" i="3"/>
  <c r="H77" i="3"/>
  <c r="H66" i="3"/>
  <c r="H191" i="3"/>
  <c r="H28" i="3"/>
  <c r="H150" i="3"/>
  <c r="H108" i="3"/>
  <c r="H202" i="3"/>
  <c r="H199" i="3"/>
  <c r="H143" i="3"/>
  <c r="H200" i="3"/>
  <c r="H192" i="3"/>
  <c r="H129" i="3"/>
  <c r="X133" i="3"/>
  <c r="Y133" i="3" s="1"/>
  <c r="H81" i="3"/>
  <c r="H134" i="3"/>
  <c r="H148" i="3"/>
  <c r="H135" i="3"/>
  <c r="H22" i="3"/>
  <c r="H136" i="3"/>
  <c r="H101" i="3"/>
  <c r="H157" i="3"/>
  <c r="H51" i="3"/>
  <c r="H78" i="3"/>
  <c r="H3" i="3"/>
  <c r="H67" i="3"/>
  <c r="H107" i="3"/>
  <c r="H100" i="3"/>
  <c r="H75" i="3"/>
  <c r="H73" i="3"/>
  <c r="H91" i="3"/>
  <c r="H126" i="3"/>
  <c r="H181" i="3"/>
  <c r="H147" i="3"/>
  <c r="H19" i="3"/>
  <c r="H21" i="3"/>
  <c r="H189" i="3"/>
  <c r="H4" i="3"/>
  <c r="H198" i="3"/>
  <c r="H82" i="3"/>
  <c r="H93" i="3"/>
  <c r="H137" i="3"/>
  <c r="H58" i="3"/>
  <c r="I163" i="3" l="1"/>
  <c r="M163" i="3" s="1"/>
  <c r="I55" i="3"/>
  <c r="M55" i="3" s="1"/>
  <c r="I62" i="3"/>
  <c r="M62" i="3" s="1"/>
  <c r="I58" i="3"/>
  <c r="M58" i="3" s="1"/>
  <c r="X58" i="3"/>
  <c r="Y58" i="3" s="1"/>
  <c r="I195" i="3"/>
  <c r="M195" i="3" s="1"/>
  <c r="X195" i="3"/>
  <c r="Y195" i="3" s="1"/>
  <c r="I8" i="3"/>
  <c r="M8" i="3" s="1"/>
  <c r="I184" i="3"/>
  <c r="M184" i="3" s="1"/>
  <c r="X184" i="3"/>
  <c r="Y184" i="3" s="1"/>
  <c r="X28" i="3"/>
  <c r="Y28" i="3" s="1"/>
  <c r="I28" i="3"/>
  <c r="M28" i="3" s="1"/>
  <c r="I46" i="3"/>
  <c r="M46" i="3" s="1"/>
  <c r="X37" i="3"/>
  <c r="Y37" i="3" s="1"/>
  <c r="I37" i="3"/>
  <c r="M37" i="3" s="1"/>
  <c r="I107" i="3"/>
  <c r="M107" i="3" s="1"/>
  <c r="X107" i="3"/>
  <c r="Y107" i="3" s="1"/>
  <c r="X176" i="3"/>
  <c r="Y176" i="3" s="1"/>
  <c r="I176" i="3"/>
  <c r="M176" i="3" s="1"/>
  <c r="I13" i="3"/>
  <c r="M13" i="3" s="1"/>
  <c r="I76" i="3"/>
  <c r="M76" i="3" s="1"/>
  <c r="X76" i="3"/>
  <c r="Y76" i="3" s="1"/>
  <c r="I160" i="3"/>
  <c r="M160" i="3" s="1"/>
  <c r="X135" i="3"/>
  <c r="Y135" i="3" s="1"/>
  <c r="I135" i="3"/>
  <c r="M135" i="3" s="1"/>
  <c r="I56" i="3"/>
  <c r="M56" i="3" s="1"/>
  <c r="X12" i="3"/>
  <c r="Y12" i="3" s="1"/>
  <c r="I12" i="3"/>
  <c r="M12" i="3" s="1"/>
  <c r="I193" i="3"/>
  <c r="M193" i="3" s="1"/>
  <c r="X193" i="3"/>
  <c r="Y193" i="3" s="1"/>
  <c r="I42" i="3"/>
  <c r="M42" i="3" s="1"/>
  <c r="I165" i="3"/>
  <c r="M165" i="3" s="1"/>
  <c r="I83" i="3"/>
  <c r="M83" i="3" s="1"/>
  <c r="I11" i="3"/>
  <c r="M11" i="3" s="1"/>
  <c r="I132" i="3"/>
  <c r="M132" i="3" s="1"/>
  <c r="X108" i="3"/>
  <c r="Y108" i="3" s="1"/>
  <c r="I108" i="3"/>
  <c r="M108" i="3" s="1"/>
  <c r="I131" i="3"/>
  <c r="M131" i="3" s="1"/>
  <c r="X131" i="3"/>
  <c r="Y131" i="3" s="1"/>
  <c r="I23" i="3"/>
  <c r="M23" i="3" s="1"/>
  <c r="I73" i="3"/>
  <c r="M73" i="3" s="1"/>
  <c r="X73" i="3"/>
  <c r="Y73" i="3" s="1"/>
  <c r="X74" i="3"/>
  <c r="Y74" i="3" s="1"/>
  <c r="I74" i="3"/>
  <c r="M74" i="3" s="1"/>
  <c r="I104" i="3"/>
  <c r="M104" i="3" s="1"/>
  <c r="X93" i="3"/>
  <c r="Y93" i="3" s="1"/>
  <c r="I93" i="3"/>
  <c r="M93" i="3" s="1"/>
  <c r="I60" i="3"/>
  <c r="M60" i="3" s="1"/>
  <c r="I88" i="3"/>
  <c r="M88" i="3" s="1"/>
  <c r="X88" i="3"/>
  <c r="Y88" i="3" s="1"/>
  <c r="X100" i="3"/>
  <c r="Y100" i="3" s="1"/>
  <c r="I100" i="3"/>
  <c r="M100" i="3" s="1"/>
  <c r="X90" i="3"/>
  <c r="Y90" i="3" s="1"/>
  <c r="I90" i="3"/>
  <c r="M90" i="3" s="1"/>
  <c r="I159" i="3"/>
  <c r="M159" i="3" s="1"/>
  <c r="I136" i="3"/>
  <c r="M136" i="3" s="1"/>
  <c r="X136" i="3"/>
  <c r="Y136" i="3" s="1"/>
  <c r="I61" i="3"/>
  <c r="M61" i="3" s="1"/>
  <c r="X61" i="3"/>
  <c r="Y61" i="3" s="1"/>
  <c r="I92" i="3"/>
  <c r="M92" i="3" s="1"/>
  <c r="I122" i="3"/>
  <c r="M122" i="3" s="1"/>
  <c r="X4" i="3"/>
  <c r="Y4" i="3" s="1"/>
  <c r="I4" i="3"/>
  <c r="M4" i="3" s="1"/>
  <c r="X156" i="3"/>
  <c r="Y156" i="3" s="1"/>
  <c r="I156" i="3"/>
  <c r="M156" i="3" s="1"/>
  <c r="I145" i="3"/>
  <c r="M145" i="3" s="1"/>
  <c r="I189" i="3"/>
  <c r="M189" i="3" s="1"/>
  <c r="X189" i="3"/>
  <c r="Y189" i="3" s="1"/>
  <c r="X3" i="3"/>
  <c r="Y3" i="3" s="1"/>
  <c r="I3" i="3"/>
  <c r="M3" i="3" s="1"/>
  <c r="I187" i="3"/>
  <c r="M187" i="3" s="1"/>
  <c r="I52" i="3"/>
  <c r="M52" i="3" s="1"/>
  <c r="I183" i="3"/>
  <c r="M183" i="3" s="1"/>
  <c r="I182" i="3"/>
  <c r="M182" i="3" s="1"/>
  <c r="I151" i="3"/>
  <c r="M151" i="3" s="1"/>
  <c r="I5" i="3"/>
  <c r="M5" i="3" s="1"/>
  <c r="X70" i="3"/>
  <c r="Y70" i="3" s="1"/>
  <c r="I70" i="3"/>
  <c r="M70" i="3" s="1"/>
  <c r="I110" i="3"/>
  <c r="M110" i="3" s="1"/>
  <c r="X112" i="3"/>
  <c r="Y112" i="3" s="1"/>
  <c r="I112" i="3"/>
  <c r="M112" i="3" s="1"/>
  <c r="X142" i="3"/>
  <c r="Y142" i="3" s="1"/>
  <c r="I142" i="3"/>
  <c r="M142" i="3" s="1"/>
  <c r="I177" i="3"/>
  <c r="M177" i="3" s="1"/>
  <c r="I113" i="3"/>
  <c r="M113" i="3" s="1"/>
  <c r="I21" i="3"/>
  <c r="M21" i="3" s="1"/>
  <c r="X21" i="3"/>
  <c r="Y21" i="3" s="1"/>
  <c r="I78" i="3"/>
  <c r="M78" i="3" s="1"/>
  <c r="X78" i="3"/>
  <c r="Y78" i="3" s="1"/>
  <c r="X148" i="3"/>
  <c r="Y148" i="3" s="1"/>
  <c r="I148" i="3"/>
  <c r="M148" i="3" s="1"/>
  <c r="I192" i="3"/>
  <c r="M192" i="3" s="1"/>
  <c r="X192" i="3"/>
  <c r="Y192" i="3" s="1"/>
  <c r="X144" i="3"/>
  <c r="Y144" i="3" s="1"/>
  <c r="I144" i="3"/>
  <c r="M144" i="3" s="1"/>
  <c r="I17" i="3"/>
  <c r="M17" i="3" s="1"/>
  <c r="X17" i="3"/>
  <c r="Y17" i="3" s="1"/>
  <c r="I196" i="3"/>
  <c r="M196" i="3" s="1"/>
  <c r="I174" i="3"/>
  <c r="M174" i="3" s="1"/>
  <c r="X174" i="3"/>
  <c r="Y174" i="3" s="1"/>
  <c r="X57" i="3"/>
  <c r="Y57" i="3" s="1"/>
  <c r="I57" i="3"/>
  <c r="M57" i="3" s="1"/>
  <c r="X68" i="3"/>
  <c r="Y68" i="3" s="1"/>
  <c r="I68" i="3"/>
  <c r="M68" i="3" s="1"/>
  <c r="I119" i="3"/>
  <c r="M119" i="3" s="1"/>
  <c r="I65" i="3"/>
  <c r="M65" i="3" s="1"/>
  <c r="I87" i="3"/>
  <c r="M87" i="3" s="1"/>
  <c r="I31" i="3"/>
  <c r="M31" i="3" s="1"/>
  <c r="I94" i="3"/>
  <c r="M94" i="3" s="1"/>
  <c r="X130" i="3"/>
  <c r="Y130" i="3" s="1"/>
  <c r="I130" i="3"/>
  <c r="M130" i="3" s="1"/>
  <c r="I197" i="3"/>
  <c r="M197" i="3" s="1"/>
  <c r="X41" i="3"/>
  <c r="Y41" i="3" s="1"/>
  <c r="I41" i="3"/>
  <c r="M41" i="3" s="1"/>
  <c r="I127" i="3"/>
  <c r="M127" i="3" s="1"/>
  <c r="X127" i="3"/>
  <c r="Y127" i="3" s="1"/>
  <c r="I71" i="3"/>
  <c r="M71" i="3" s="1"/>
  <c r="X82" i="3"/>
  <c r="Y82" i="3" s="1"/>
  <c r="I82" i="3"/>
  <c r="M82" i="3" s="1"/>
  <c r="I124" i="3"/>
  <c r="M124" i="3" s="1"/>
  <c r="X116" i="3"/>
  <c r="Y116" i="3" s="1"/>
  <c r="I116" i="3"/>
  <c r="M116" i="3" s="1"/>
  <c r="I96" i="3"/>
  <c r="M96" i="3" s="1"/>
  <c r="X67" i="3"/>
  <c r="Y67" i="3" s="1"/>
  <c r="I67" i="3"/>
  <c r="M67" i="3" s="1"/>
  <c r="X117" i="3"/>
  <c r="Y117" i="3" s="1"/>
  <c r="I117" i="3"/>
  <c r="M117" i="3" s="1"/>
  <c r="I34" i="3"/>
  <c r="M34" i="3" s="1"/>
  <c r="X19" i="3"/>
  <c r="Y19" i="3" s="1"/>
  <c r="I19" i="3"/>
  <c r="M19" i="3" s="1"/>
  <c r="I51" i="3"/>
  <c r="M51" i="3" s="1"/>
  <c r="X51" i="3"/>
  <c r="Y51" i="3" s="1"/>
  <c r="I80" i="3"/>
  <c r="M80" i="3" s="1"/>
  <c r="X200" i="3"/>
  <c r="Y200" i="3" s="1"/>
  <c r="I200" i="3"/>
  <c r="M200" i="3" s="1"/>
  <c r="I146" i="3"/>
  <c r="M146" i="3" s="1"/>
  <c r="X146" i="3"/>
  <c r="Y146" i="3" s="1"/>
  <c r="X152" i="3"/>
  <c r="Y152" i="3" s="1"/>
  <c r="I152" i="3"/>
  <c r="M152" i="3" s="1"/>
  <c r="I18" i="3"/>
  <c r="M18" i="3" s="1"/>
  <c r="X18" i="3"/>
  <c r="Y18" i="3" s="1"/>
  <c r="I20" i="3"/>
  <c r="M20" i="3" s="1"/>
  <c r="X20" i="3"/>
  <c r="Y20" i="3" s="1"/>
  <c r="X115" i="3"/>
  <c r="Y115" i="3" s="1"/>
  <c r="I115" i="3"/>
  <c r="M115" i="3" s="1"/>
  <c r="I44" i="3"/>
  <c r="M44" i="3" s="1"/>
  <c r="X44" i="3"/>
  <c r="Y44" i="3" s="1"/>
  <c r="I39" i="3"/>
  <c r="M39" i="3" s="1"/>
  <c r="I138" i="3"/>
  <c r="M138" i="3" s="1"/>
  <c r="I24" i="3"/>
  <c r="M24" i="3" s="1"/>
  <c r="I171" i="3"/>
  <c r="M171" i="3" s="1"/>
  <c r="I194" i="3"/>
  <c r="M194" i="3" s="1"/>
  <c r="X185" i="3"/>
  <c r="Y185" i="3" s="1"/>
  <c r="I185" i="3"/>
  <c r="M185" i="3" s="1"/>
  <c r="X150" i="3"/>
  <c r="Y150" i="3" s="1"/>
  <c r="I150" i="3"/>
  <c r="M150" i="3" s="1"/>
  <c r="I79" i="3"/>
  <c r="M79" i="3" s="1"/>
  <c r="X81" i="3"/>
  <c r="Y81" i="3" s="1"/>
  <c r="I81" i="3"/>
  <c r="M81" i="3" s="1"/>
  <c r="I114" i="3"/>
  <c r="M114" i="3" s="1"/>
  <c r="I36" i="3"/>
  <c r="M36" i="3" s="1"/>
  <c r="I25" i="3"/>
  <c r="M25" i="3" s="1"/>
  <c r="I139" i="3"/>
  <c r="M139" i="3" s="1"/>
  <c r="X129" i="3"/>
  <c r="Y129" i="3" s="1"/>
  <c r="I129" i="3"/>
  <c r="M129" i="3" s="1"/>
  <c r="I125" i="3"/>
  <c r="M125" i="3" s="1"/>
  <c r="X105" i="3"/>
  <c r="Y105" i="3" s="1"/>
  <c r="I105" i="3"/>
  <c r="M105" i="3" s="1"/>
  <c r="I26" i="3"/>
  <c r="M26" i="3" s="1"/>
  <c r="I50" i="3"/>
  <c r="M50" i="3" s="1"/>
  <c r="X143" i="3"/>
  <c r="Y143" i="3" s="1"/>
  <c r="I143" i="3"/>
  <c r="M143" i="3" s="1"/>
  <c r="I168" i="3"/>
  <c r="M168" i="3" s="1"/>
  <c r="I47" i="3"/>
  <c r="M47" i="3" s="1"/>
  <c r="X47" i="3"/>
  <c r="Y47" i="3" s="1"/>
  <c r="X179" i="3"/>
  <c r="Y179" i="3" s="1"/>
  <c r="I179" i="3"/>
  <c r="M179" i="3" s="1"/>
  <c r="I38" i="3"/>
  <c r="M38" i="3" s="1"/>
  <c r="X106" i="3"/>
  <c r="Y106" i="3" s="1"/>
  <c r="I106" i="3"/>
  <c r="M106" i="3" s="1"/>
  <c r="X141" i="3"/>
  <c r="Y141" i="3" s="1"/>
  <c r="I141" i="3"/>
  <c r="M141" i="3" s="1"/>
  <c r="X95" i="3"/>
  <c r="Y95" i="3" s="1"/>
  <c r="I95" i="3"/>
  <c r="M95" i="3" s="1"/>
  <c r="X111" i="3"/>
  <c r="Y111" i="3" s="1"/>
  <c r="I111" i="3"/>
  <c r="M111" i="3" s="1"/>
  <c r="I162" i="3"/>
  <c r="M162" i="3" s="1"/>
  <c r="I48" i="3"/>
  <c r="M48" i="3" s="1"/>
  <c r="I109" i="3"/>
  <c r="M109" i="3" s="1"/>
  <c r="I29" i="3"/>
  <c r="M29" i="3" s="1"/>
  <c r="I64" i="3"/>
  <c r="M64" i="3" s="1"/>
  <c r="I123" i="3"/>
  <c r="M123" i="3" s="1"/>
  <c r="I140" i="3"/>
  <c r="M140" i="3" s="1"/>
  <c r="I166" i="3"/>
  <c r="M166" i="3" s="1"/>
  <c r="X173" i="3"/>
  <c r="Y173" i="3" s="1"/>
  <c r="I173" i="3"/>
  <c r="M173" i="3" s="1"/>
  <c r="I103" i="3"/>
  <c r="M103" i="3" s="1"/>
  <c r="I84" i="3"/>
  <c r="M84" i="3" s="1"/>
  <c r="X154" i="3"/>
  <c r="Y154" i="3" s="1"/>
  <c r="I154" i="3"/>
  <c r="M154" i="3" s="1"/>
  <c r="I178" i="3"/>
  <c r="M178" i="3" s="1"/>
  <c r="X155" i="3"/>
  <c r="Y155" i="3" s="1"/>
  <c r="I155" i="3"/>
  <c r="M155" i="3" s="1"/>
  <c r="X149" i="3"/>
  <c r="Y149" i="3" s="1"/>
  <c r="I149" i="3"/>
  <c r="M149" i="3" s="1"/>
  <c r="I198" i="3"/>
  <c r="M198" i="3" s="1"/>
  <c r="X198" i="3"/>
  <c r="Y198" i="3" s="1"/>
  <c r="X99" i="3"/>
  <c r="Y99" i="3" s="1"/>
  <c r="I99" i="3"/>
  <c r="M99" i="3" s="1"/>
  <c r="I77" i="3"/>
  <c r="M77" i="3" s="1"/>
  <c r="X77" i="3"/>
  <c r="Y77" i="3" s="1"/>
  <c r="I167" i="3"/>
  <c r="M167" i="3" s="1"/>
  <c r="I147" i="3"/>
  <c r="M147" i="3" s="1"/>
  <c r="X147" i="3"/>
  <c r="Y147" i="3" s="1"/>
  <c r="X101" i="3"/>
  <c r="Y101" i="3" s="1"/>
  <c r="I101" i="3"/>
  <c r="M101" i="3" s="1"/>
  <c r="I199" i="3"/>
  <c r="M199" i="3" s="1"/>
  <c r="X199" i="3"/>
  <c r="Y199" i="3" s="1"/>
  <c r="X16" i="3"/>
  <c r="Y16" i="3" s="1"/>
  <c r="I16" i="3"/>
  <c r="M16" i="3" s="1"/>
  <c r="X89" i="3"/>
  <c r="Y89" i="3" s="1"/>
  <c r="I89" i="3"/>
  <c r="M89" i="3" s="1"/>
  <c r="X40" i="3"/>
  <c r="Y40" i="3" s="1"/>
  <c r="I40" i="3"/>
  <c r="M40" i="3" s="1"/>
  <c r="X169" i="3"/>
  <c r="Y169" i="3" s="1"/>
  <c r="I169" i="3"/>
  <c r="M169" i="3" s="1"/>
  <c r="I133" i="3"/>
  <c r="M133" i="3" s="1"/>
  <c r="X118" i="3"/>
  <c r="Y118" i="3" s="1"/>
  <c r="I118" i="3"/>
  <c r="M118" i="3" s="1"/>
  <c r="I59" i="3"/>
  <c r="M59" i="3" s="1"/>
  <c r="I54" i="3"/>
  <c r="M54" i="3" s="1"/>
  <c r="I164" i="3"/>
  <c r="M164" i="3" s="1"/>
  <c r="I128" i="3"/>
  <c r="M128" i="3" s="1"/>
  <c r="I180" i="3"/>
  <c r="M180" i="3" s="1"/>
  <c r="I121" i="3"/>
  <c r="M121" i="3" s="1"/>
  <c r="I91" i="3"/>
  <c r="M91" i="3" s="1"/>
  <c r="X91" i="3"/>
  <c r="Y91" i="3" s="1"/>
  <c r="I120" i="3"/>
  <c r="M120" i="3" s="1"/>
  <c r="X120" i="3"/>
  <c r="Y120" i="3" s="1"/>
  <c r="X137" i="3"/>
  <c r="Y137" i="3" s="1"/>
  <c r="I137" i="3"/>
  <c r="M137" i="3" s="1"/>
  <c r="I161" i="3"/>
  <c r="M161" i="3" s="1"/>
  <c r="I43" i="3"/>
  <c r="M43" i="3" s="1"/>
  <c r="X72" i="3"/>
  <c r="Y72" i="3" s="1"/>
  <c r="I72" i="3"/>
  <c r="M72" i="3" s="1"/>
  <c r="I7" i="3"/>
  <c r="M7" i="3" s="1"/>
  <c r="I158" i="3"/>
  <c r="M158" i="3" s="1"/>
  <c r="X75" i="3"/>
  <c r="Y75" i="3" s="1"/>
  <c r="I75" i="3"/>
  <c r="M75" i="3" s="1"/>
  <c r="I188" i="3"/>
  <c r="M188" i="3" s="1"/>
  <c r="X188" i="3"/>
  <c r="Y188" i="3" s="1"/>
  <c r="I98" i="3"/>
  <c r="M98" i="3" s="1"/>
  <c r="I15" i="3"/>
  <c r="M15" i="3" s="1"/>
  <c r="I190" i="3"/>
  <c r="M190" i="3" s="1"/>
  <c r="X191" i="3"/>
  <c r="Y191" i="3" s="1"/>
  <c r="I191" i="3"/>
  <c r="M191" i="3" s="1"/>
  <c r="I63" i="3"/>
  <c r="M63" i="3" s="1"/>
  <c r="I53" i="3"/>
  <c r="M53" i="3" s="1"/>
  <c r="I6" i="3"/>
  <c r="M6" i="3" s="1"/>
  <c r="I86" i="3"/>
  <c r="M86" i="3" s="1"/>
  <c r="X66" i="3"/>
  <c r="Y66" i="3" s="1"/>
  <c r="I66" i="3"/>
  <c r="M66" i="3" s="1"/>
  <c r="I153" i="3"/>
  <c r="M153" i="3" s="1"/>
  <c r="I49" i="3"/>
  <c r="M49" i="3" s="1"/>
  <c r="I22" i="3"/>
  <c r="M22" i="3" s="1"/>
  <c r="X22" i="3"/>
  <c r="Y22" i="3" s="1"/>
  <c r="I186" i="3"/>
  <c r="M186" i="3" s="1"/>
  <c r="X186" i="3"/>
  <c r="Y186" i="3" s="1"/>
  <c r="I157" i="3"/>
  <c r="M157" i="3" s="1"/>
  <c r="X157" i="3"/>
  <c r="Y157" i="3" s="1"/>
  <c r="X181" i="3"/>
  <c r="Y181" i="3" s="1"/>
  <c r="I181" i="3"/>
  <c r="M181" i="3" s="1"/>
  <c r="I32" i="3"/>
  <c r="M32" i="3" s="1"/>
  <c r="I126" i="3"/>
  <c r="M126" i="3" s="1"/>
  <c r="X126" i="3"/>
  <c r="Y126" i="3" s="1"/>
  <c r="I33" i="3"/>
  <c r="M33" i="3" s="1"/>
  <c r="X134" i="3"/>
  <c r="Y134" i="3" s="1"/>
  <c r="I134" i="3"/>
  <c r="M134" i="3" s="1"/>
  <c r="I202" i="3"/>
  <c r="M202" i="3" s="1"/>
  <c r="X202" i="3"/>
  <c r="Y202" i="3" s="1"/>
  <c r="I102" i="3"/>
  <c r="M102" i="3" s="1"/>
  <c r="X102" i="3"/>
  <c r="Y102" i="3" s="1"/>
  <c r="I30" i="3"/>
  <c r="M30" i="3" s="1"/>
  <c r="X30" i="3"/>
  <c r="Y30" i="3" s="1"/>
  <c r="I69" i="3"/>
  <c r="M69" i="3" s="1"/>
  <c r="I175" i="3"/>
  <c r="M175" i="3" s="1"/>
  <c r="X175" i="3"/>
  <c r="Y175" i="3" s="1"/>
  <c r="X201" i="3"/>
  <c r="Y201" i="3" s="1"/>
  <c r="I201" i="3"/>
  <c r="M201" i="3" s="1"/>
  <c r="I35" i="3"/>
  <c r="M35" i="3" s="1"/>
  <c r="X85" i="3"/>
  <c r="Y85" i="3" s="1"/>
  <c r="I85" i="3"/>
  <c r="M85" i="3" s="1"/>
  <c r="I172" i="3"/>
  <c r="M172" i="3" s="1"/>
  <c r="I14" i="3"/>
  <c r="M14" i="3" s="1"/>
  <c r="I10" i="3"/>
  <c r="M10" i="3" s="1"/>
  <c r="I27" i="3"/>
  <c r="M27" i="3" s="1"/>
  <c r="I9" i="3"/>
  <c r="M9" i="3" s="1"/>
  <c r="I170" i="3"/>
  <c r="M170" i="3" s="1"/>
  <c r="I97" i="3"/>
  <c r="M97" i="3" s="1"/>
  <c r="I45" i="3"/>
  <c r="M45" i="3" s="1"/>
  <c r="N33" i="3" l="1"/>
  <c r="N49" i="3"/>
  <c r="N55" i="3"/>
  <c r="N177" i="3"/>
  <c r="N155" i="3"/>
  <c r="N187" i="3"/>
  <c r="N169" i="3"/>
  <c r="N19" i="3"/>
  <c r="N147" i="3"/>
  <c r="N76" i="3"/>
  <c r="N48" i="3"/>
  <c r="N30" i="3"/>
  <c r="N171" i="3"/>
  <c r="N189" i="3"/>
  <c r="N42" i="3"/>
  <c r="N7" i="3"/>
  <c r="N77" i="3"/>
  <c r="N47" i="3"/>
  <c r="N41" i="3"/>
  <c r="N70" i="3"/>
  <c r="N90" i="3"/>
  <c r="N195" i="3"/>
  <c r="N98" i="3"/>
  <c r="N106" i="3"/>
  <c r="N124" i="3"/>
  <c r="N60" i="3"/>
  <c r="N97" i="3"/>
  <c r="N64" i="3"/>
  <c r="N87" i="3"/>
  <c r="N132" i="3"/>
  <c r="N170" i="3"/>
  <c r="N188" i="3"/>
  <c r="N29" i="3"/>
  <c r="N185" i="3"/>
  <c r="N61" i="3"/>
  <c r="N32" i="3"/>
  <c r="N129" i="3"/>
  <c r="N112" i="3"/>
  <c r="N83" i="3"/>
  <c r="N86" i="3"/>
  <c r="N154" i="3"/>
  <c r="N34" i="3"/>
  <c r="N136" i="3"/>
  <c r="N8" i="3"/>
  <c r="N121" i="3"/>
  <c r="N139" i="3"/>
  <c r="N152" i="3"/>
  <c r="N159" i="3"/>
  <c r="N176" i="3"/>
  <c r="N14" i="3"/>
  <c r="N53" i="3"/>
  <c r="N180" i="3"/>
  <c r="N89" i="3"/>
  <c r="N84" i="3"/>
  <c r="N111" i="3"/>
  <c r="N25" i="3"/>
  <c r="N24" i="3"/>
  <c r="N57" i="3"/>
  <c r="N145" i="3"/>
  <c r="N172" i="3"/>
  <c r="N102" i="3"/>
  <c r="N157" i="3"/>
  <c r="N63" i="3"/>
  <c r="N72" i="3"/>
  <c r="N128" i="3"/>
  <c r="N99" i="3"/>
  <c r="N103" i="3"/>
  <c r="N168" i="3"/>
  <c r="N36" i="3"/>
  <c r="N138" i="3"/>
  <c r="N67" i="3"/>
  <c r="N156" i="3"/>
  <c r="N73" i="3"/>
  <c r="N193" i="3"/>
  <c r="N17" i="3"/>
  <c r="N133" i="3"/>
  <c r="N142" i="3"/>
  <c r="N175" i="3"/>
  <c r="N125" i="3"/>
  <c r="N69" i="3"/>
  <c r="N71" i="3"/>
  <c r="N91" i="3"/>
  <c r="N68" i="3"/>
  <c r="N165" i="3"/>
  <c r="N162" i="3"/>
  <c r="N110" i="3"/>
  <c r="N173" i="3"/>
  <c r="N95" i="3"/>
  <c r="N143" i="3"/>
  <c r="N114" i="3"/>
  <c r="N39" i="3"/>
  <c r="N146" i="3"/>
  <c r="N197" i="3"/>
  <c r="N78" i="3"/>
  <c r="N5" i="3"/>
  <c r="N100" i="3"/>
  <c r="N23" i="3"/>
  <c r="N12" i="3"/>
  <c r="N107" i="3"/>
  <c r="N58" i="3"/>
  <c r="N105" i="3"/>
  <c r="N52" i="3"/>
  <c r="N82" i="3"/>
  <c r="N120" i="3"/>
  <c r="N65" i="3"/>
  <c r="N9" i="3"/>
  <c r="N179" i="3"/>
  <c r="N27" i="3"/>
  <c r="N18" i="3"/>
  <c r="N10" i="3"/>
  <c r="N148" i="3"/>
  <c r="N164" i="3"/>
  <c r="N54" i="3"/>
  <c r="N81" i="3"/>
  <c r="N200" i="3"/>
  <c r="N96" i="3"/>
  <c r="N130" i="3"/>
  <c r="N174" i="3"/>
  <c r="N151" i="3"/>
  <c r="N4" i="3"/>
  <c r="N37" i="3"/>
  <c r="N123" i="3"/>
  <c r="N28" i="3"/>
  <c r="N93" i="3"/>
  <c r="N126" i="3"/>
  <c r="N3" i="3"/>
  <c r="N178" i="3"/>
  <c r="N184" i="3"/>
  <c r="N167" i="3"/>
  <c r="N74" i="3"/>
  <c r="N158" i="3"/>
  <c r="N127" i="3"/>
  <c r="N191" i="3"/>
  <c r="N186" i="3"/>
  <c r="N35" i="3"/>
  <c r="N190" i="3"/>
  <c r="N59" i="3"/>
  <c r="N198" i="3"/>
  <c r="N166" i="3"/>
  <c r="N141" i="3"/>
  <c r="N50" i="3"/>
  <c r="N44" i="3"/>
  <c r="N116" i="3"/>
  <c r="N196" i="3"/>
  <c r="N21" i="3"/>
  <c r="N182" i="3"/>
  <c r="N131" i="3"/>
  <c r="N56" i="3"/>
  <c r="N62" i="3"/>
  <c r="N45" i="3"/>
  <c r="N101" i="3"/>
  <c r="N150" i="3"/>
  <c r="N31" i="3"/>
  <c r="N92" i="3"/>
  <c r="N153" i="3"/>
  <c r="N51" i="3"/>
  <c r="N144" i="3"/>
  <c r="N160" i="3"/>
  <c r="N66" i="3"/>
  <c r="N38" i="3"/>
  <c r="N20" i="3"/>
  <c r="N11" i="3"/>
  <c r="N75" i="3"/>
  <c r="N109" i="3"/>
  <c r="N119" i="3"/>
  <c r="N104" i="3"/>
  <c r="N181" i="3"/>
  <c r="N40" i="3"/>
  <c r="N194" i="3"/>
  <c r="N192" i="3"/>
  <c r="N13" i="3"/>
  <c r="N6" i="3"/>
  <c r="N117" i="3"/>
  <c r="N85" i="3"/>
  <c r="N16" i="3"/>
  <c r="N202" i="3"/>
  <c r="N43" i="3"/>
  <c r="N134" i="3"/>
  <c r="N161" i="3"/>
  <c r="N201" i="3"/>
  <c r="N22" i="3"/>
  <c r="N15" i="3"/>
  <c r="N137" i="3"/>
  <c r="N118" i="3"/>
  <c r="N199" i="3"/>
  <c r="N149" i="3"/>
  <c r="N140" i="3"/>
  <c r="N26" i="3"/>
  <c r="N79" i="3"/>
  <c r="N115" i="3"/>
  <c r="N80" i="3"/>
  <c r="N94" i="3"/>
  <c r="N113" i="3"/>
  <c r="N183" i="3"/>
  <c r="N122" i="3"/>
  <c r="N88" i="3"/>
  <c r="N108" i="3"/>
  <c r="N135" i="3"/>
  <c r="N46" i="3"/>
  <c r="N16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tc={456B33F9-4752-4FA4-BDBC-A3B56339E078}</author>
    <author>tc={9A469925-F20C-4614-B97A-3881973DB393}</author>
    <author>Georb</author>
  </authors>
  <commentList>
    <comment ref="A5" authorId="0" shapeId="0" xr:uid="{456B33F9-4752-4FA4-BDBC-A3B56339E078}">
      <text>
        <t>[Threaded comment]
Your version of Excel allows you to read this threaded comment; however, any edits to it will get removed if the file is opened in a newer version of Excel. Learn more: https://go.microsoft.com/fwlink/?linkid=870924
Comment:
    This cell will calculate automatically once team information is added.</t>
      </text>
    </comment>
    <comment ref="A8" authorId="1" shapeId="0" xr:uid="{9A469925-F20C-4614-B97A-3881973DB393}">
      <text>
        <t>[Threaded comment]
Your version of Excel allows you to read this threaded comment; however, any edits to it will get removed if the file is opened in a newer version of Excel. Learn more: https://go.microsoft.com/fwlink/?linkid=870924
Comment:
    This cell must be updated manually for each event.</t>
      </text>
    </comment>
    <comment ref="A10" authorId="2" shapeId="0" xr:uid="{C7752BB2-A258-4DC4-89DA-1E470C3803E0}">
      <text>
        <r>
          <rPr>
            <b/>
            <sz val="9"/>
            <color indexed="81"/>
            <rFont val="Tahoma"/>
            <family val="2"/>
          </rPr>
          <t xml:space="preserve">This list of awards is a single column table and is used for the award dropdown in the Results and Rankings sheet. Currently, it has eight awards with two empty spaces. 
Extra award names could be added to cells A19 and A20 and they will appear in the Awards dropdown in the Results and Rankings sheet. 
To have more than ten awards, the "AwardListLookup" named range will be expanded to include the additional awards. </t>
        </r>
      </text>
    </comment>
  </commentList>
</comments>
</file>

<file path=xl/sharedStrings.xml><?xml version="1.0" encoding="utf-8"?>
<sst xmlns="http://schemas.openxmlformats.org/spreadsheetml/2006/main" count="177" uniqueCount="116">
  <si>
    <t>DESIGNED FOR USE IN MICROSOFT EXCEL.
SOME FUNCTIONALITY MAY BE LOST IN OTHER APPLICATIONS.</t>
  </si>
  <si>
    <t>1.</t>
  </si>
  <si>
    <r>
      <t>Open the '</t>
    </r>
    <r>
      <rPr>
        <b/>
        <sz val="36"/>
        <color theme="1"/>
        <rFont val="Calibri"/>
        <family val="2"/>
        <scheme val="minor"/>
      </rPr>
      <t>Team and Program Information'</t>
    </r>
    <r>
      <rPr>
        <sz val="36"/>
        <color theme="1"/>
        <rFont val="Calibri"/>
        <family val="2"/>
        <scheme val="minor"/>
      </rPr>
      <t xml:space="preserve"> page. Enter the </t>
    </r>
    <r>
      <rPr>
        <b/>
        <sz val="36"/>
        <color theme="1"/>
        <rFont val="Calibri"/>
        <family val="2"/>
        <scheme val="minor"/>
      </rPr>
      <t xml:space="preserve">team numbers </t>
    </r>
    <r>
      <rPr>
        <sz val="36"/>
        <color theme="1"/>
        <rFont val="Calibri"/>
        <family val="2"/>
        <scheme val="minor"/>
      </rPr>
      <t xml:space="preserve">and the </t>
    </r>
    <r>
      <rPr>
        <b/>
        <sz val="36"/>
        <color theme="1"/>
        <rFont val="Calibri"/>
        <family val="2"/>
        <scheme val="minor"/>
      </rPr>
      <t>team names</t>
    </r>
    <r>
      <rPr>
        <sz val="36"/>
        <color theme="1"/>
        <rFont val="Calibri"/>
        <family val="2"/>
        <scheme val="minor"/>
      </rPr>
      <t xml:space="preserve">. Also, the </t>
    </r>
    <r>
      <rPr>
        <b/>
        <sz val="36"/>
        <color theme="1"/>
        <rFont val="Calibri"/>
        <family val="2"/>
        <scheme val="minor"/>
      </rPr>
      <t xml:space="preserve">number of teams </t>
    </r>
    <r>
      <rPr>
        <sz val="36"/>
        <color theme="1"/>
        <rFont val="Calibri"/>
        <family val="2"/>
        <scheme val="minor"/>
      </rPr>
      <t xml:space="preserve">in this event as well as the number of teams </t>
    </r>
    <r>
      <rPr>
        <b/>
        <sz val="36"/>
        <color theme="1"/>
        <rFont val="Calibri"/>
        <family val="2"/>
        <scheme val="minor"/>
      </rPr>
      <t xml:space="preserve">advancing </t>
    </r>
    <r>
      <rPr>
        <sz val="36"/>
        <color theme="1"/>
        <rFont val="Calibri"/>
        <family val="2"/>
        <scheme val="minor"/>
      </rPr>
      <t>from this event in the box on the left. This information will show in the other sheets.</t>
    </r>
  </si>
  <si>
    <t>You may notice that the team names do not appear on the 'Robot Game Scores' page - don’t worry, some events use an import for this page, you can still enter the scores manually and the data will still populate the results and ranking list. Columns C-L in 'Core Values Input' are intentially hidden and no data should be typed in those cells.</t>
  </si>
  <si>
    <t>2.</t>
  </si>
  <si>
    <t xml:space="preserve">Many columns in the various tables have formulas. Please use caution to not accidentally edit or delete the formulas. </t>
  </si>
  <si>
    <t>3.</t>
  </si>
  <si>
    <r>
      <t xml:space="preserve">Collect the rubric scores from the judges and the robot game scores (including </t>
    </r>
    <r>
      <rPr>
        <i/>
        <sz val="36"/>
        <color theme="1"/>
        <rFont val="Calibri"/>
        <family val="2"/>
        <scheme val="minor"/>
      </rPr>
      <t>Gracious Professionalism</t>
    </r>
    <r>
      <rPr>
        <sz val="36"/>
        <color theme="1"/>
        <rFont val="Calibri"/>
        <family val="2"/>
        <scheme val="minor"/>
      </rPr>
      <t xml:space="preserve">® scores) from the referees throughout the event and </t>
    </r>
    <r>
      <rPr>
        <b/>
        <sz val="36"/>
        <color theme="1"/>
        <rFont val="Calibri"/>
        <family val="2"/>
        <scheme val="minor"/>
      </rPr>
      <t>enter the data</t>
    </r>
    <r>
      <rPr>
        <sz val="36"/>
        <color theme="1"/>
        <rFont val="Calibri"/>
        <family val="2"/>
        <scheme val="minor"/>
      </rPr>
      <t xml:space="preserve"> into the corresponding sheets of this workbook.</t>
    </r>
  </si>
  <si>
    <r>
      <t xml:space="preserve">Core Values scores, except </t>
    </r>
    <r>
      <rPr>
        <i/>
        <sz val="22"/>
        <color theme="1"/>
        <rFont val="Calibri"/>
        <family val="2"/>
        <scheme val="minor"/>
      </rPr>
      <t xml:space="preserve">Gracious Professionalism </t>
    </r>
    <r>
      <rPr>
        <sz val="22"/>
        <color theme="1"/>
        <rFont val="Calibri"/>
        <family val="2"/>
        <scheme val="minor"/>
      </rPr>
      <t>scores from the robot game, are populated automatically from the other rubric scores - no score information should be added to columns C-L on the 'Core Values Input' page.</t>
    </r>
  </si>
  <si>
    <t>4.</t>
  </si>
  <si>
    <r>
      <t>When all the data has been inputted, go the '</t>
    </r>
    <r>
      <rPr>
        <b/>
        <sz val="36"/>
        <color theme="1"/>
        <rFont val="Calibri"/>
        <family val="2"/>
        <scheme val="minor"/>
      </rPr>
      <t>Results and Rankings</t>
    </r>
    <r>
      <rPr>
        <sz val="36"/>
        <color theme="1"/>
        <rFont val="Calibri"/>
        <family val="2"/>
        <scheme val="minor"/>
      </rPr>
      <t>' page to view all of the information in one place.</t>
    </r>
  </si>
  <si>
    <t>5.</t>
  </si>
  <si>
    <r>
      <t xml:space="preserve">You are now ready to </t>
    </r>
    <r>
      <rPr>
        <b/>
        <sz val="36"/>
        <color theme="1"/>
        <rFont val="Calibri"/>
        <family val="2"/>
        <scheme val="minor"/>
      </rPr>
      <t>allocate your awards</t>
    </r>
    <r>
      <rPr>
        <sz val="36"/>
        <color theme="1"/>
        <rFont val="Calibri"/>
        <family val="2"/>
        <scheme val="minor"/>
      </rPr>
      <t xml:space="preserve"> based on your rankings using the 'Awards and Allocations' document in the judging toolkit.</t>
    </r>
  </si>
  <si>
    <t>Useful Tips:</t>
  </si>
  <si>
    <r>
      <t xml:space="preserve">If you are copying data into the Input pages please remember to use the </t>
    </r>
    <r>
      <rPr>
        <b/>
        <sz val="20"/>
        <color theme="1"/>
        <rFont val="Calibri"/>
        <family val="2"/>
        <scheme val="minor"/>
      </rPr>
      <t xml:space="preserve">'Paste Values' </t>
    </r>
    <r>
      <rPr>
        <sz val="20"/>
        <color theme="1"/>
        <rFont val="Calibri"/>
        <family val="2"/>
        <scheme val="minor"/>
      </rPr>
      <t>or</t>
    </r>
    <r>
      <rPr>
        <b/>
        <sz val="20"/>
        <color theme="1"/>
        <rFont val="Calibri"/>
        <family val="2"/>
        <scheme val="minor"/>
      </rPr>
      <t xml:space="preserve"> 'Use Destination Formatting'</t>
    </r>
    <r>
      <rPr>
        <sz val="20"/>
        <color theme="1"/>
        <rFont val="Calibri"/>
        <family val="2"/>
        <scheme val="minor"/>
      </rPr>
      <t xml:space="preserve"> option.</t>
    </r>
  </si>
  <si>
    <r>
      <t xml:space="preserve">You can sort your data by a specific column by clicking on the small arrow in the column header box and selecting </t>
    </r>
    <r>
      <rPr>
        <b/>
        <sz val="20"/>
        <color theme="1"/>
        <rFont val="Calibri"/>
        <family val="2"/>
        <scheme val="minor"/>
      </rPr>
      <t>'sort smallest to largest'</t>
    </r>
    <r>
      <rPr>
        <sz val="20"/>
        <color theme="1"/>
        <rFont val="Calibri"/>
        <family val="2"/>
        <scheme val="minor"/>
      </rPr>
      <t xml:space="preserve"> or 'A to Z'.</t>
    </r>
  </si>
  <si>
    <r>
      <t xml:space="preserve">As you work with the OJS you should </t>
    </r>
    <r>
      <rPr>
        <b/>
        <sz val="20"/>
        <color theme="1"/>
        <rFont val="Calibri"/>
        <family val="2"/>
        <scheme val="minor"/>
      </rPr>
      <t>save your spreadsheet regularly</t>
    </r>
    <r>
      <rPr>
        <sz val="20"/>
        <color theme="1"/>
        <rFont val="Calibri"/>
        <family val="2"/>
        <scheme val="minor"/>
      </rPr>
      <t xml:space="preserve"> in case of IT issues.</t>
    </r>
  </si>
  <si>
    <t>(This stops the formatting and formulae being overwritten)</t>
  </si>
  <si>
    <r>
      <t xml:space="preserve">If referees hand in printed scoresheets, robot game scores will need to be calclulated using the </t>
    </r>
    <r>
      <rPr>
        <b/>
        <sz val="20"/>
        <color theme="1"/>
        <rFont val="Calibri"/>
        <family val="2"/>
        <scheme val="minor"/>
      </rPr>
      <t>'Official Scoring Calculator'</t>
    </r>
    <r>
      <rPr>
        <sz val="20"/>
        <color theme="1"/>
        <rFont val="Calibri"/>
        <family val="2"/>
        <scheme val="minor"/>
      </rPr>
      <t xml:space="preserve"> tool (online).</t>
    </r>
  </si>
  <si>
    <t>Version</t>
  </si>
  <si>
    <r>
      <rPr>
        <b/>
        <i/>
        <sz val="20"/>
        <color rgb="FF000000"/>
        <rFont val="Calibri"/>
        <scheme val="minor"/>
      </rPr>
      <t xml:space="preserve">FIRST® </t>
    </r>
    <r>
      <rPr>
        <b/>
        <sz val="20"/>
        <color rgb="FF000000"/>
        <rFont val="Calibri"/>
        <scheme val="minor"/>
      </rPr>
      <t>LEGO</t>
    </r>
    <r>
      <rPr>
        <b/>
        <sz val="20"/>
        <color rgb="FF000000"/>
        <rFont val="Calibri"/>
      </rPr>
      <t>®</t>
    </r>
    <r>
      <rPr>
        <b/>
        <sz val="20"/>
        <color rgb="FF000000"/>
        <rFont val="Calibri"/>
        <scheme val="minor"/>
      </rPr>
      <t xml:space="preserve"> League Challenge Official Judging Spreadsheet</t>
    </r>
  </si>
  <si>
    <t>UNEARTHED</t>
  </si>
  <si>
    <t>Row</t>
  </si>
  <si>
    <t>Team Number</t>
  </si>
  <si>
    <t>Team Name</t>
  </si>
  <si>
    <t>Coach</t>
  </si>
  <si>
    <t>Pod Number</t>
  </si>
  <si>
    <t>Number of Teams</t>
  </si>
  <si>
    <t>Number of Teams Advancing</t>
  </si>
  <si>
    <t>Award Lookup List</t>
  </si>
  <si>
    <t>Champion's</t>
  </si>
  <si>
    <t>Core Values</t>
  </si>
  <si>
    <t>Innovation Project</t>
  </si>
  <si>
    <t>Robot Design</t>
  </si>
  <si>
    <t>Engineering Excellence</t>
  </si>
  <si>
    <t>Breakthrough</t>
  </si>
  <si>
    <t>Rising All-Star</t>
  </si>
  <si>
    <t>Motivate</t>
  </si>
  <si>
    <t>Team Information</t>
  </si>
  <si>
    <t>Robot Game</t>
  </si>
  <si>
    <t>Judging</t>
  </si>
  <si>
    <t>Overall</t>
  </si>
  <si>
    <t>Awards &amp; Advancement</t>
  </si>
  <si>
    <t>Testing Items (Info Only)</t>
  </si>
  <si>
    <t>Comments</t>
  </si>
  <si>
    <t>Robot Game Score 1</t>
  </si>
  <si>
    <t>Robot Game Score 2</t>
  </si>
  <si>
    <t>Robot Game Score 3</t>
  </si>
  <si>
    <t>Robot Game Score 4</t>
  </si>
  <si>
    <t>Robot Game Score 5</t>
  </si>
  <si>
    <t>Max Robot Game Score</t>
  </si>
  <si>
    <t>Robot Game Rank</t>
  </si>
  <si>
    <t>Core Values Rank</t>
  </si>
  <si>
    <t>Innovation Project Rank</t>
  </si>
  <si>
    <t>Robot Design Rank</t>
  </si>
  <si>
    <t>Champion's Score</t>
  </si>
  <si>
    <t>Champion's Rank</t>
  </si>
  <si>
    <t>Award</t>
  </si>
  <si>
    <t>Award Place</t>
  </si>
  <si>
    <t>Advance?</t>
  </si>
  <si>
    <t>Core Values Score</t>
  </si>
  <si>
    <t>Innovattion Project Score</t>
  </si>
  <si>
    <t>Robot Design Score</t>
  </si>
  <si>
    <t>Overall Score - Geometric Mean</t>
  </si>
  <si>
    <t>Overall Ranking - Geometric Mean</t>
  </si>
  <si>
    <t>Identify - Define</t>
  </si>
  <si>
    <t>Identify - Research (CV)</t>
  </si>
  <si>
    <t>Design - Plan</t>
  </si>
  <si>
    <t>Design - Teamwork (CV)</t>
  </si>
  <si>
    <t>Create - Innovation (CV)</t>
  </si>
  <si>
    <t>Create - Model</t>
  </si>
  <si>
    <t>Iterate - Sharing</t>
  </si>
  <si>
    <t>Iterate - Improvement</t>
  </si>
  <si>
    <t>Communicate - Impact (CV)</t>
  </si>
  <si>
    <t>Communicate - Fun (CV)</t>
  </si>
  <si>
    <t>Innovation Project Score</t>
  </si>
  <si>
    <t>Identify - Strategy</t>
  </si>
  <si>
    <t>Design - Ideas (CV)</t>
  </si>
  <si>
    <t>Design - Building/Coding</t>
  </si>
  <si>
    <t>Create - Attachments</t>
  </si>
  <si>
    <t>Create - Code/ Sensors</t>
  </si>
  <si>
    <t>Iterate - Testing</t>
  </si>
  <si>
    <t>Iterate - Improvements (CV)</t>
  </si>
  <si>
    <t>Robot Game 1 Score</t>
  </si>
  <si>
    <t>Robot Game 2 Score</t>
  </si>
  <si>
    <t>Robot Game 3 Score</t>
  </si>
  <si>
    <t>Robot Game 4 Score</t>
  </si>
  <si>
    <t>Robot Game 5 Score</t>
  </si>
  <si>
    <t>Highest Robot Game Score</t>
  </si>
  <si>
    <t>Discovery (IP)</t>
  </si>
  <si>
    <t>Teamwork (IP)</t>
  </si>
  <si>
    <t>Innovation (IP)</t>
  </si>
  <si>
    <t>Impact (IP)</t>
  </si>
  <si>
    <t>Fun (IP)</t>
  </si>
  <si>
    <t>Discovery (RD)</t>
  </si>
  <si>
    <t>Inclusion (RD)</t>
  </si>
  <si>
    <t>Innovation (RD)</t>
  </si>
  <si>
    <t>Impact (RD)</t>
  </si>
  <si>
    <t>Fun (RD)</t>
  </si>
  <si>
    <t>Gracious Professionalism 1</t>
  </si>
  <si>
    <t>Gracious Professionalism 2</t>
  </si>
  <si>
    <t>Gracious Professionalism 3</t>
  </si>
  <si>
    <t>Gracious Professionalism 4</t>
  </si>
  <si>
    <t>Gracious Professionalism 5</t>
  </si>
  <si>
    <t>Gracious Professionalism Empty Count</t>
  </si>
  <si>
    <t>Gracious Professionalism Total</t>
  </si>
  <si>
    <t>Gracious Professionalism Score</t>
  </si>
  <si>
    <t>Breakthrough Selection</t>
  </si>
  <si>
    <t>Rising All-Star Selection</t>
  </si>
  <si>
    <t>Motivate Selection</t>
  </si>
  <si>
    <t>rank</t>
  </si>
  <si>
    <t>team</t>
  </si>
  <si>
    <t>total</t>
  </si>
  <si>
    <t>Advancement</t>
  </si>
  <si>
    <t>Deliberated Rank</t>
  </si>
  <si>
    <r>
      <t xml:space="preserve">If your event uses more than 3 official robot game matches, you can unhide columns G-H, using the plus (+) button above them, in 'Robot Game Scores' and columns P-Q in 'Core Values Input' for </t>
    </r>
    <r>
      <rPr>
        <i/>
        <sz val="20"/>
        <color theme="1"/>
        <rFont val="Calibri"/>
        <family val="2"/>
        <scheme val="minor"/>
      </rPr>
      <t xml:space="preserve">Gracious Professionalism </t>
    </r>
    <r>
      <rPr>
        <sz val="20"/>
        <color theme="1"/>
        <rFont val="Calibri"/>
        <family val="2"/>
        <scheme val="minor"/>
      </rPr>
      <t>scores.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</si>
</sst>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0.0"/>
    <numFmt numFmtId="166" formatCode="0;\-0;;@"/>
  </numFmts>
  <fonts count="33" x14ac:knownFonts="1">
    <font>
      <sz val="11"/>
      <color theme="1"/>
      <name val="Calibri"/>
      <family val="2"/>
      <scheme val="minor"/>
    </font>
    <font>
      <b/>
      <sz val="11"/>
      <color rgb="FFFA7D00"/>
      <name val="Calibri"/>
      <family val="2"/>
      <scheme val="minor"/>
    </font>
    <font>
      <i/>
      <sz val="11"/>
      <color rgb="FF7F7F7F"/>
      <name val="Calibri"/>
      <family val="2"/>
      <scheme val="minor"/>
    </font>
    <font>
      <b/>
      <sz val="16"/>
      <color theme="1"/>
      <name val="Calibri"/>
      <family val="2"/>
      <scheme val="minor"/>
    </font>
    <font>
      <b/>
      <u/>
      <sz val="28"/>
      <color rgb="FFFF0000"/>
      <name val="Calibri"/>
      <family val="2"/>
      <scheme val="minor"/>
    </font>
    <font>
      <sz val="36"/>
      <color theme="1"/>
      <name val="Calibri"/>
      <family val="2"/>
      <scheme val="minor"/>
    </font>
    <font>
      <b/>
      <sz val="36"/>
      <color theme="1"/>
      <name val="Calibri"/>
      <family val="2"/>
      <scheme val="minor"/>
    </font>
    <font>
      <sz val="22"/>
      <color theme="1"/>
      <name val="Calibri"/>
      <family val="2"/>
      <scheme val="minor"/>
    </font>
    <font>
      <i/>
      <sz val="36"/>
      <color theme="1"/>
      <name val="Calibri"/>
      <family val="2"/>
      <scheme val="minor"/>
    </font>
    <font>
      <i/>
      <sz val="22"/>
      <color theme="1"/>
      <name val="Calibri"/>
      <family val="2"/>
      <scheme val="minor"/>
    </font>
    <font>
      <sz val="20"/>
      <color theme="1"/>
      <name val="Calibri"/>
      <family val="2"/>
      <scheme val="minor"/>
    </font>
    <font>
      <u/>
      <sz val="36"/>
      <color theme="1"/>
      <name val="Calibri"/>
      <family val="2"/>
      <scheme val="minor"/>
    </font>
    <font>
      <b/>
      <sz val="20"/>
      <color theme="1"/>
      <name val="Calibri"/>
      <family val="2"/>
      <scheme val="minor"/>
    </font>
    <font>
      <i/>
      <sz val="20"/>
      <color theme="1"/>
      <name val="Calibri"/>
      <family val="2"/>
      <scheme val="minor"/>
    </font>
    <font>
      <sz val="12"/>
      <color theme="1"/>
      <name val="Calibri"/>
      <family val="2"/>
      <scheme val="minor"/>
    </font>
    <font>
      <sz val="16"/>
      <color theme="1"/>
      <name val="Calibri"/>
      <family val="2"/>
      <scheme val="minor"/>
    </font>
    <font>
      <b/>
      <sz val="12"/>
      <color theme="1"/>
      <name val="Calibri"/>
      <family val="2"/>
      <scheme val="minor"/>
    </font>
    <font>
      <b/>
      <sz val="9"/>
      <color indexed="81"/>
      <name val="Tahoma"/>
      <family val="2"/>
    </font>
    <font>
      <sz val="11"/>
      <color rgb="FF000000"/>
      <name val="Calibri"/>
      <family val="2"/>
      <scheme val="minor"/>
    </font>
    <font>
      <b/>
      <sz val="14"/>
      <name val="Calibri"/>
      <family val="2"/>
      <scheme val="minor"/>
    </font>
    <font>
      <b/>
      <sz val="14"/>
      <color theme="1"/>
      <name val="Calibri"/>
      <family val="2"/>
      <scheme val="minor"/>
    </font>
    <font>
      <b/>
      <sz val="11"/>
      <color theme="0"/>
      <name val="Calibri"/>
      <family val="2"/>
      <scheme val="minor"/>
    </font>
    <font>
      <b/>
      <sz val="14"/>
      <color theme="0"/>
      <name val="Calibri"/>
      <family val="2"/>
      <scheme val="minor"/>
    </font>
    <font>
      <b/>
      <sz val="18"/>
      <color theme="1"/>
      <name val="Calibri"/>
      <family val="2"/>
      <scheme val="minor"/>
    </font>
    <font>
      <b/>
      <sz val="12"/>
      <name val="Calibri"/>
      <family val="2"/>
      <scheme val="minor"/>
    </font>
    <font>
      <sz val="12"/>
      <name val="Calibri"/>
      <family val="2"/>
      <scheme val="minor"/>
    </font>
    <font>
      <sz val="11"/>
      <name val="Calibri"/>
      <family val="2"/>
      <scheme val="minor"/>
    </font>
    <font>
      <b/>
      <i/>
      <sz val="14"/>
      <color theme="0"/>
      <name val="Calibri"/>
      <family val="2"/>
      <scheme val="minor"/>
    </font>
    <font>
      <i/>
      <sz val="12"/>
      <color rgb="FFFF0000"/>
      <name val="Calibri"/>
      <family val="2"/>
      <scheme val="minor"/>
    </font>
    <font>
      <b/>
      <sz val="12"/>
      <color rgb="FF000000"/>
      <name val="Calibri"/>
      <family val="2"/>
    </font>
    <font>
      <b/>
      <i/>
      <sz val="20"/>
      <color rgb="FF000000"/>
      <name val="Calibri"/>
      <scheme val="minor"/>
    </font>
    <font>
      <b/>
      <sz val="20"/>
      <color rgb="FF000000"/>
      <name val="Calibri"/>
      <scheme val="minor"/>
    </font>
    <font>
      <b/>
      <sz val="20"/>
      <color rgb="FF000000"/>
      <name val="Calibri"/>
    </font>
  </fonts>
  <fills count="23">
    <fill>
      <patternFill patternType="none"/>
    </fill>
    <fill>
      <patternFill patternType="gray125"/>
    </fill>
    <fill>
      <patternFill patternType="solid">
        <fgColor rgb="FFF2F2F2"/>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7030A0"/>
        <bgColor indexed="64"/>
      </patternFill>
    </fill>
    <fill>
      <patternFill patternType="solid">
        <fgColor rgb="FF00B0F0"/>
        <bgColor indexed="64"/>
      </patternFill>
    </fill>
    <fill>
      <patternFill patternType="solid">
        <fgColor rgb="FFE40613"/>
        <bgColor indexed="64"/>
      </patternFill>
    </fill>
    <fill>
      <patternFill patternType="solid">
        <fgColor rgb="FF00963F"/>
        <bgColor indexed="64"/>
      </patternFill>
    </fill>
    <fill>
      <patternFill patternType="solid">
        <fgColor rgb="FF016DB6"/>
        <bgColor indexed="64"/>
      </patternFill>
    </fill>
    <fill>
      <patternFill patternType="solid">
        <fgColor theme="5"/>
        <bgColor indexed="64"/>
      </patternFill>
    </fill>
    <fill>
      <patternFill patternType="solid">
        <fgColor theme="7"/>
        <bgColor indexed="64"/>
      </patternFill>
    </fill>
    <fill>
      <patternFill patternType="solid">
        <fgColor rgb="FF82CCFE"/>
        <bgColor indexed="64"/>
      </patternFill>
    </fill>
    <fill>
      <patternFill patternType="solid">
        <fgColor rgb="FF00B050"/>
        <bgColor indexed="64"/>
      </patternFill>
    </fill>
    <fill>
      <patternFill patternType="solid">
        <fgColor theme="9" tint="-0.249977111117893"/>
        <bgColor indexed="64"/>
      </patternFill>
    </fill>
    <fill>
      <patternFill patternType="solid">
        <fgColor rgb="FFFF8181"/>
        <bgColor indexed="64"/>
      </patternFill>
    </fill>
    <fill>
      <patternFill patternType="solid">
        <fgColor theme="9" tint="0.59999389629810485"/>
        <bgColor indexed="64"/>
      </patternFill>
    </fill>
    <fill>
      <patternFill patternType="solid">
        <fgColor rgb="FFD890CA"/>
        <bgColor indexed="64"/>
      </patternFill>
    </fill>
    <fill>
      <patternFill patternType="solid">
        <fgColor theme="9" tint="0.39997558519241921"/>
        <bgColor indexed="64"/>
      </patternFill>
    </fill>
    <fill>
      <patternFill patternType="solid">
        <fgColor rgb="FFFF0000"/>
        <bgColor indexed="64"/>
      </patternFill>
    </fill>
    <fill>
      <patternFill patternType="solid">
        <fgColor rgb="FFFC9297"/>
        <bgColor indexed="64"/>
      </patternFill>
    </fill>
    <fill>
      <patternFill patternType="solid">
        <fgColor rgb="FFFFFF00"/>
        <bgColor indexed="64"/>
      </patternFill>
    </fill>
  </fills>
  <borders count="19">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rgb="FF7030A0"/>
      </left>
      <right style="thick">
        <color rgb="FF7030A0"/>
      </right>
      <top style="thick">
        <color rgb="FF7030A0"/>
      </top>
      <bottom style="thick">
        <color rgb="FF7030A0"/>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rgb="FF7F7F7F"/>
      </left>
      <right style="thin">
        <color rgb="FF7F7F7F"/>
      </right>
      <top style="thin">
        <color rgb="FF7F7F7F"/>
      </top>
      <bottom/>
      <diagonal/>
    </border>
    <border>
      <left style="thin">
        <color theme="4" tint="0.39997558519241921"/>
      </left>
      <right style="thin">
        <color theme="4" tint="0.39997558519241921"/>
      </right>
      <top style="thin">
        <color rgb="FF7F7F7F"/>
      </top>
      <bottom/>
      <diagonal/>
    </border>
    <border>
      <left style="thin">
        <color theme="4" tint="0.39997558519241921"/>
      </left>
      <right style="thin">
        <color theme="4" tint="0.39997558519241921"/>
      </right>
      <top style="thin">
        <color theme="4" tint="0.39997558519241921"/>
      </top>
      <bottom/>
      <diagonal/>
    </border>
    <border>
      <left/>
      <right/>
      <top/>
      <bottom style="thin">
        <color rgb="FF000000"/>
      </bottom>
      <diagonal/>
    </border>
  </borders>
  <cellStyleXfs count="3">
    <xf numFmtId="0" fontId="0" fillId="0" borderId="0"/>
    <xf numFmtId="0" fontId="1" fillId="2" borderId="1" applyNumberFormat="0" applyAlignment="0" applyProtection="0"/>
    <xf numFmtId="0" fontId="2" fillId="0" borderId="0" applyNumberFormat="0" applyFill="0" applyBorder="0" applyAlignment="0" applyProtection="0"/>
  </cellStyleXfs>
  <cellXfs count="111">
    <xf numFmtId="0" fontId="0" fillId="0" borderId="0" xfId="0"/>
    <xf numFmtId="0" fontId="0" fillId="3" borderId="0" xfId="0" applyFill="1" applyAlignment="1">
      <alignment horizontal="center" vertical="center"/>
    </xf>
    <xf numFmtId="0" fontId="4" fillId="3" borderId="0" xfId="0" applyFont="1" applyFill="1" applyAlignment="1">
      <alignment horizontal="center" vertical="center" wrapText="1"/>
    </xf>
    <xf numFmtId="0" fontId="5" fillId="3" borderId="0" xfId="0" applyFont="1" applyFill="1" applyAlignment="1">
      <alignment horizontal="left" vertical="center"/>
    </xf>
    <xf numFmtId="0" fontId="11" fillId="3" borderId="0" xfId="0" applyFont="1" applyFill="1" applyAlignment="1">
      <alignment horizontal="left" vertical="center"/>
    </xf>
    <xf numFmtId="0" fontId="10" fillId="3" borderId="0" xfId="0" applyFont="1" applyFill="1" applyAlignment="1">
      <alignment vertical="center" wrapText="1"/>
    </xf>
    <xf numFmtId="0" fontId="5" fillId="3" borderId="0" xfId="0" applyFont="1" applyFill="1" applyAlignment="1">
      <alignment vertical="center" wrapText="1"/>
    </xf>
    <xf numFmtId="0" fontId="7" fillId="3" borderId="0" xfId="0" applyFont="1" applyFill="1" applyAlignment="1">
      <alignment vertical="center" wrapText="1"/>
    </xf>
    <xf numFmtId="0" fontId="5" fillId="3" borderId="0" xfId="0" applyFont="1" applyFill="1" applyAlignment="1">
      <alignment vertical="center"/>
    </xf>
    <xf numFmtId="0" fontId="0" fillId="0" borderId="0" xfId="0" applyAlignment="1">
      <alignment vertical="center"/>
    </xf>
    <xf numFmtId="49" fontId="5" fillId="3" borderId="0" xfId="0" applyNumberFormat="1" applyFont="1" applyFill="1" applyAlignment="1">
      <alignment vertical="center"/>
    </xf>
    <xf numFmtId="0" fontId="3" fillId="0" borderId="0" xfId="0" applyFont="1" applyAlignment="1">
      <alignment horizontal="center" vertical="center"/>
    </xf>
    <xf numFmtId="0" fontId="14" fillId="0" borderId="0" xfId="0" applyFont="1" applyAlignment="1">
      <alignment horizontal="center" vertical="center"/>
    </xf>
    <xf numFmtId="0" fontId="3" fillId="0" borderId="0" xfId="0" applyFont="1" applyAlignment="1" applyProtection="1">
      <alignment horizontal="center" vertical="center"/>
      <protection locked="0"/>
    </xf>
    <xf numFmtId="0" fontId="1" fillId="2" borderId="1" xfId="1" applyAlignment="1">
      <alignment horizontal="center" vertical="center"/>
    </xf>
    <xf numFmtId="0" fontId="15" fillId="0" borderId="0" xfId="0" applyFont="1" applyAlignment="1">
      <alignment horizontal="center" vertical="center"/>
    </xf>
    <xf numFmtId="0" fontId="2" fillId="0" borderId="0" xfId="2" applyAlignment="1">
      <alignment horizontal="center" vertical="center" wrapText="1"/>
    </xf>
    <xf numFmtId="0" fontId="14" fillId="0" borderId="0" xfId="0" applyFont="1" applyAlignment="1" applyProtection="1">
      <alignment horizontal="center" vertical="center"/>
      <protection locked="0"/>
    </xf>
    <xf numFmtId="0" fontId="2" fillId="0" borderId="0" xfId="2" applyAlignment="1">
      <alignment horizontal="center" vertical="center"/>
    </xf>
    <xf numFmtId="0" fontId="16" fillId="0" borderId="0" xfId="0" applyFont="1" applyAlignment="1" applyProtection="1">
      <alignment vertical="top"/>
      <protection locked="0"/>
    </xf>
    <xf numFmtId="0" fontId="16" fillId="0" borderId="0" xfId="0" applyFont="1" applyAlignment="1" applyProtection="1">
      <alignment horizontal="left" vertical="center"/>
      <protection locked="0"/>
    </xf>
    <xf numFmtId="0" fontId="3" fillId="0" borderId="0" xfId="0" applyFont="1" applyAlignment="1">
      <alignment horizontal="center" vertical="center" wrapText="1"/>
    </xf>
    <xf numFmtId="0" fontId="14" fillId="0" borderId="0" xfId="0" applyFont="1" applyAlignment="1" applyProtection="1">
      <alignment horizontal="left" vertical="center" wrapText="1"/>
      <protection locked="0"/>
    </xf>
    <xf numFmtId="0" fontId="18" fillId="0" borderId="0" xfId="0" applyFont="1"/>
    <xf numFmtId="0" fontId="0" fillId="0" borderId="0" xfId="0" applyAlignment="1">
      <alignment horizontal="center" vertical="center"/>
    </xf>
    <xf numFmtId="0" fontId="0" fillId="6" borderId="0" xfId="0" applyFill="1" applyAlignment="1">
      <alignment horizontal="center" vertical="center"/>
    </xf>
    <xf numFmtId="0" fontId="0" fillId="6" borderId="0" xfId="0" applyFill="1" applyAlignment="1">
      <alignment horizontal="center" vertical="center" wrapText="1"/>
    </xf>
    <xf numFmtId="0" fontId="0" fillId="7" borderId="0" xfId="0" applyFill="1" applyAlignment="1">
      <alignment horizontal="center" vertical="center"/>
    </xf>
    <xf numFmtId="0" fontId="0" fillId="7" borderId="0" xfId="0" applyFill="1" applyAlignment="1">
      <alignment horizontal="center" vertical="center" wrapText="1"/>
    </xf>
    <xf numFmtId="0" fontId="0" fillId="8" borderId="0" xfId="0" applyFill="1" applyAlignment="1">
      <alignment horizontal="center" vertical="center"/>
    </xf>
    <xf numFmtId="0" fontId="0" fillId="8" borderId="0" xfId="0" applyFill="1" applyAlignment="1">
      <alignment horizontal="center" vertical="center" wrapText="1"/>
    </xf>
    <xf numFmtId="0" fontId="0" fillId="9" borderId="0" xfId="0" applyFill="1" applyAlignment="1">
      <alignment horizontal="center" vertical="center"/>
    </xf>
    <xf numFmtId="0" fontId="0" fillId="9" borderId="0" xfId="0" applyFill="1" applyAlignment="1">
      <alignment horizontal="center" vertical="center" wrapText="1"/>
    </xf>
    <xf numFmtId="0" fontId="0" fillId="10" borderId="0" xfId="0" applyFill="1" applyAlignment="1">
      <alignment horizontal="center" vertical="center"/>
    </xf>
    <xf numFmtId="0" fontId="0" fillId="10" borderId="0" xfId="0" applyFill="1" applyAlignment="1">
      <alignment horizontal="center" vertical="center" wrapText="1"/>
    </xf>
    <xf numFmtId="0" fontId="0" fillId="11" borderId="0" xfId="0" applyFill="1" applyAlignment="1">
      <alignment horizontal="center" vertical="center"/>
    </xf>
    <xf numFmtId="0" fontId="0" fillId="11" borderId="0" xfId="0" applyFill="1" applyAlignment="1">
      <alignment horizontal="center" vertical="center" wrapText="1"/>
    </xf>
    <xf numFmtId="0" fontId="19" fillId="12" borderId="0" xfId="0" applyFont="1" applyFill="1" applyAlignment="1">
      <alignment horizontal="center" vertical="center" wrapText="1"/>
    </xf>
    <xf numFmtId="0" fontId="19" fillId="12" borderId="0" xfId="0" applyFont="1" applyFill="1" applyAlignment="1">
      <alignment horizontal="center" vertical="center"/>
    </xf>
    <xf numFmtId="0" fontId="19" fillId="13" borderId="0" xfId="0" applyFont="1" applyFill="1" applyAlignment="1">
      <alignment horizontal="center" vertical="center" textRotation="90"/>
    </xf>
    <xf numFmtId="1" fontId="20" fillId="10" borderId="0" xfId="0" applyNumberFormat="1" applyFont="1" applyFill="1" applyAlignment="1">
      <alignment horizontal="center" vertical="center" textRotation="90"/>
    </xf>
    <xf numFmtId="0" fontId="20" fillId="10" borderId="0" xfId="0" applyFont="1" applyFill="1" applyAlignment="1">
      <alignment horizontal="center" vertical="center" textRotation="90"/>
    </xf>
    <xf numFmtId="0" fontId="14" fillId="0" borderId="0" xfId="0" applyFont="1" applyAlignment="1">
      <alignment horizontal="left" vertical="center"/>
    </xf>
    <xf numFmtId="0" fontId="16" fillId="0" borderId="0" xfId="0" applyFont="1" applyAlignment="1">
      <alignment horizontal="center" vertical="center"/>
    </xf>
    <xf numFmtId="0" fontId="0" fillId="0" borderId="0" xfId="0" applyProtection="1">
      <protection locked="0"/>
    </xf>
    <xf numFmtId="0" fontId="23" fillId="0" borderId="0" xfId="0" applyFont="1" applyAlignment="1">
      <alignment horizontal="center" vertical="center"/>
    </xf>
    <xf numFmtId="0" fontId="19" fillId="12" borderId="11" xfId="0" applyFont="1" applyFill="1" applyBorder="1" applyAlignment="1">
      <alignment horizontal="center" vertical="center" wrapText="1"/>
    </xf>
    <xf numFmtId="0" fontId="21" fillId="14" borderId="11" xfId="0" applyFont="1" applyFill="1" applyBorder="1" applyAlignment="1">
      <alignment horizontal="center" vertical="center" wrapText="1"/>
    </xf>
    <xf numFmtId="0" fontId="22" fillId="14" borderId="11" xfId="0" applyFont="1" applyFill="1" applyBorder="1" applyAlignment="1">
      <alignment horizontal="center" vertical="center" wrapText="1"/>
    </xf>
    <xf numFmtId="0" fontId="21" fillId="8" borderId="11" xfId="0" applyFont="1" applyFill="1" applyBorder="1" applyAlignment="1">
      <alignment horizontal="center" vertical="center" wrapText="1"/>
    </xf>
    <xf numFmtId="0" fontId="21" fillId="10" borderId="11" xfId="0" applyFont="1" applyFill="1" applyBorder="1" applyAlignment="1">
      <alignment horizontal="center" vertical="center" wrapText="1"/>
    </xf>
    <xf numFmtId="0" fontId="21" fillId="15" borderId="11" xfId="0" applyFont="1" applyFill="1" applyBorder="1" applyAlignment="1">
      <alignment horizontal="center" vertical="center" wrapText="1"/>
    </xf>
    <xf numFmtId="1" fontId="22" fillId="6" borderId="11" xfId="0" applyNumberFormat="1" applyFont="1" applyFill="1" applyBorder="1" applyAlignment="1">
      <alignment horizontal="center" vertical="center" wrapText="1"/>
    </xf>
    <xf numFmtId="0" fontId="22" fillId="6" borderId="11" xfId="0" applyFont="1" applyFill="1" applyBorder="1" applyAlignment="1">
      <alignment horizontal="center" vertical="center" wrapText="1"/>
    </xf>
    <xf numFmtId="0" fontId="22" fillId="11" borderId="11" xfId="0" applyFont="1" applyFill="1" applyBorder="1" applyAlignment="1">
      <alignment horizontal="center" vertical="center" textRotation="90" wrapText="1"/>
    </xf>
    <xf numFmtId="0" fontId="19" fillId="12" borderId="11" xfId="0" applyFont="1" applyFill="1" applyBorder="1" applyAlignment="1">
      <alignment horizontal="center" vertical="center" textRotation="90" wrapText="1"/>
    </xf>
    <xf numFmtId="1" fontId="24" fillId="16" borderId="11" xfId="0" applyNumberFormat="1" applyFont="1" applyFill="1" applyBorder="1" applyAlignment="1">
      <alignment horizontal="center" vertical="center" textRotation="90" wrapText="1"/>
    </xf>
    <xf numFmtId="1" fontId="24" fillId="13" borderId="11" xfId="0" applyNumberFormat="1" applyFont="1" applyFill="1" applyBorder="1" applyAlignment="1">
      <alignment horizontal="center" vertical="center" textRotation="90" wrapText="1"/>
    </xf>
    <xf numFmtId="1" fontId="24" fillId="17" borderId="11" xfId="0" applyNumberFormat="1" applyFont="1" applyFill="1" applyBorder="1" applyAlignment="1">
      <alignment horizontal="center" vertical="center" textRotation="90" wrapText="1"/>
    </xf>
    <xf numFmtId="2" fontId="24" fillId="18" borderId="11" xfId="0" applyNumberFormat="1" applyFont="1" applyFill="1" applyBorder="1" applyAlignment="1">
      <alignment horizontal="center" vertical="center" textRotation="90" wrapText="1"/>
    </xf>
    <xf numFmtId="0" fontId="24" fillId="18" borderId="11" xfId="0" applyFont="1" applyFill="1" applyBorder="1" applyAlignment="1">
      <alignment horizontal="center" vertical="center" textRotation="90" wrapText="1"/>
    </xf>
    <xf numFmtId="0" fontId="19" fillId="0" borderId="12" xfId="0" applyFont="1" applyBorder="1" applyAlignment="1">
      <alignment horizontal="center" vertical="center" wrapText="1"/>
    </xf>
    <xf numFmtId="0" fontId="25" fillId="0" borderId="0" xfId="0" applyFont="1" applyAlignment="1">
      <alignment horizontal="left" vertical="center"/>
    </xf>
    <xf numFmtId="1" fontId="25" fillId="0" borderId="0" xfId="0" applyNumberFormat="1" applyFont="1" applyAlignment="1">
      <alignment horizontal="center" vertical="center"/>
    </xf>
    <xf numFmtId="1" fontId="0" fillId="0" borderId="0" xfId="0" applyNumberFormat="1" applyAlignment="1">
      <alignment horizontal="center" vertical="center"/>
    </xf>
    <xf numFmtId="164" fontId="26" fillId="0" borderId="0" xfId="0" applyNumberFormat="1" applyFont="1" applyAlignment="1">
      <alignment horizontal="center" vertical="center"/>
    </xf>
    <xf numFmtId="0" fontId="25" fillId="0" borderId="0" xfId="0" applyFont="1" applyAlignment="1" applyProtection="1">
      <alignment horizontal="center" vertical="center"/>
      <protection locked="0"/>
    </xf>
    <xf numFmtId="164" fontId="25" fillId="0" borderId="0" xfId="0" applyNumberFormat="1" applyFont="1" applyAlignment="1" applyProtection="1">
      <alignment horizontal="center" vertical="center"/>
      <protection locked="0"/>
    </xf>
    <xf numFmtId="2" fontId="25" fillId="0" borderId="0" xfId="0" applyNumberFormat="1" applyFont="1" applyAlignment="1">
      <alignment horizontal="center" vertical="center"/>
    </xf>
    <xf numFmtId="0" fontId="26" fillId="0" borderId="0" xfId="0" applyFont="1" applyAlignment="1">
      <alignment horizontal="center" vertical="center"/>
    </xf>
    <xf numFmtId="164" fontId="25" fillId="0" borderId="0" xfId="0" applyNumberFormat="1" applyFont="1" applyAlignment="1">
      <alignment horizontal="center" vertical="center"/>
    </xf>
    <xf numFmtId="0" fontId="25" fillId="0" borderId="0" xfId="0" applyFont="1" applyAlignment="1">
      <alignment horizontal="center" vertical="center"/>
    </xf>
    <xf numFmtId="0" fontId="19" fillId="19" borderId="0" xfId="0" applyFont="1" applyFill="1" applyAlignment="1">
      <alignment horizontal="center" vertical="center" textRotation="90" wrapText="1"/>
    </xf>
    <xf numFmtId="1" fontId="22" fillId="15" borderId="0" xfId="0" applyNumberFormat="1" applyFont="1" applyFill="1" applyAlignment="1">
      <alignment horizontal="center" vertical="center" textRotation="90"/>
    </xf>
    <xf numFmtId="0" fontId="22" fillId="15" borderId="0" xfId="0" applyFont="1" applyFill="1" applyAlignment="1">
      <alignment horizontal="center" vertical="center" textRotation="90"/>
    </xf>
    <xf numFmtId="0" fontId="27" fillId="20" borderId="0" xfId="0" applyFont="1" applyFill="1" applyAlignment="1">
      <alignment horizontal="center" vertical="center" textRotation="90"/>
    </xf>
    <xf numFmtId="0" fontId="19" fillId="21" borderId="0" xfId="0" applyFont="1" applyFill="1" applyAlignment="1">
      <alignment horizontal="center" vertical="center" textRotation="90"/>
    </xf>
    <xf numFmtId="0" fontId="19" fillId="21" borderId="0" xfId="0" applyFont="1" applyFill="1" applyAlignment="1">
      <alignment horizontal="center" vertical="center" textRotation="90" wrapText="1"/>
    </xf>
    <xf numFmtId="0" fontId="22" fillId="8" borderId="0" xfId="0" applyFont="1" applyFill="1" applyAlignment="1">
      <alignment horizontal="center" vertical="center" textRotation="90" wrapText="1"/>
    </xf>
    <xf numFmtId="0" fontId="22" fillId="8" borderId="0" xfId="0" applyFont="1" applyFill="1" applyAlignment="1">
      <alignment horizontal="center" vertical="center" textRotation="90"/>
    </xf>
    <xf numFmtId="0" fontId="19" fillId="11" borderId="0" xfId="0" applyFont="1" applyFill="1" applyAlignment="1">
      <alignment horizontal="center" vertical="center" textRotation="90"/>
    </xf>
    <xf numFmtId="165" fontId="16" fillId="0" borderId="0" xfId="0" applyNumberFormat="1" applyFont="1" applyAlignment="1">
      <alignment horizontal="center" vertical="center"/>
    </xf>
    <xf numFmtId="164" fontId="29" fillId="0" borderId="0" xfId="0" applyNumberFormat="1" applyFont="1" applyAlignment="1" applyProtection="1">
      <alignment horizontal="center" vertical="center"/>
      <protection locked="0"/>
    </xf>
    <xf numFmtId="1" fontId="16" fillId="0" borderId="0" xfId="0" applyNumberFormat="1" applyFont="1" applyAlignment="1">
      <alignment horizontal="center" vertical="center"/>
    </xf>
    <xf numFmtId="0" fontId="22" fillId="14" borderId="13" xfId="0" applyFont="1" applyFill="1" applyBorder="1" applyAlignment="1">
      <alignment horizontal="center" vertical="center" textRotation="90"/>
    </xf>
    <xf numFmtId="0" fontId="20" fillId="19" borderId="13" xfId="0" applyFont="1" applyFill="1" applyBorder="1" applyAlignment="1">
      <alignment horizontal="center" vertical="center" textRotation="90"/>
    </xf>
    <xf numFmtId="166" fontId="22" fillId="14" borderId="13" xfId="0" applyNumberFormat="1" applyFont="1" applyFill="1" applyBorder="1" applyAlignment="1">
      <alignment horizontal="center" vertical="center" textRotation="90" wrapText="1"/>
    </xf>
    <xf numFmtId="0" fontId="28" fillId="0" borderId="0" xfId="0" applyFont="1" applyAlignment="1">
      <alignment horizontal="center" vertical="center"/>
    </xf>
    <xf numFmtId="0" fontId="16" fillId="0" borderId="0" xfId="0" applyFont="1"/>
    <xf numFmtId="0" fontId="1" fillId="2" borderId="15" xfId="1" applyBorder="1"/>
    <xf numFmtId="0" fontId="2" fillId="0" borderId="16" xfId="2" applyBorder="1"/>
    <xf numFmtId="0" fontId="2" fillId="0" borderId="17" xfId="2" applyBorder="1"/>
    <xf numFmtId="0" fontId="2" fillId="0" borderId="14" xfId="2" applyBorder="1"/>
    <xf numFmtId="0" fontId="3" fillId="22" borderId="10" xfId="0" applyFont="1" applyFill="1" applyBorder="1" applyAlignment="1" applyProtection="1">
      <alignment horizontal="center" vertical="center"/>
      <protection locked="0"/>
    </xf>
    <xf numFmtId="0" fontId="19" fillId="12" borderId="18" xfId="0" applyFont="1" applyFill="1" applyBorder="1" applyAlignment="1">
      <alignment horizontal="center" vertical="center" wrapText="1"/>
    </xf>
    <xf numFmtId="0" fontId="19" fillId="12" borderId="18" xfId="0" applyFont="1" applyFill="1" applyBorder="1" applyAlignment="1">
      <alignment horizontal="center" vertical="center"/>
    </xf>
    <xf numFmtId="0" fontId="4" fillId="3" borderId="0" xfId="0" applyFont="1" applyFill="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5" fillId="3" borderId="0" xfId="0" applyFont="1" applyFill="1" applyAlignment="1">
      <alignment vertical="center" wrapText="1"/>
    </xf>
    <xf numFmtId="0" fontId="7" fillId="3" borderId="0" xfId="0" applyFont="1" applyFill="1" applyAlignment="1">
      <alignment vertical="center" wrapText="1"/>
    </xf>
    <xf numFmtId="0" fontId="32" fillId="5" borderId="0" xfId="0" applyFont="1" applyFill="1" applyAlignment="1">
      <alignment horizontal="center" vertical="center"/>
    </xf>
    <xf numFmtId="0" fontId="12" fillId="5" borderId="0" xfId="0" applyFont="1" applyFill="1" applyAlignment="1">
      <alignment horizontal="center" vertical="center"/>
    </xf>
    <xf numFmtId="0" fontId="23" fillId="0" borderId="0" xfId="0" applyFont="1" applyAlignment="1">
      <alignment horizontal="center" vertical="center"/>
    </xf>
  </cellXfs>
  <cellStyles count="3">
    <cellStyle name="Calculation" xfId="1" builtinId="22"/>
    <cellStyle name="Explanatory Text" xfId="2" builtinId="53"/>
    <cellStyle name="Normal" xfId="0" builtinId="0"/>
  </cellStyles>
  <dxfs count="160">
    <dxf>
      <fill>
        <patternFill>
          <bgColor theme="5"/>
        </patternFill>
      </fill>
    </dxf>
    <dxf>
      <fill>
        <patternFill>
          <bgColor rgb="FF00B0F0"/>
        </patternFill>
      </fill>
    </dxf>
    <dxf>
      <fill>
        <patternFill patternType="darkHorizontal">
          <fgColor theme="0"/>
          <bgColor rgb="FFFFC000"/>
        </patternFill>
      </fill>
    </dxf>
    <dxf>
      <fill>
        <patternFill>
          <bgColor theme="5"/>
        </patternFill>
      </fill>
    </dxf>
    <dxf>
      <font>
        <b/>
        <i/>
        <color theme="0"/>
      </font>
      <fill>
        <patternFill>
          <bgColor rgb="FFC9B037"/>
        </patternFill>
      </fill>
    </dxf>
    <dxf>
      <font>
        <b/>
        <i/>
        <color theme="1"/>
      </font>
      <fill>
        <patternFill>
          <bgColor rgb="FFD7D7D7"/>
        </patternFill>
      </fill>
    </dxf>
    <dxf>
      <font>
        <b/>
        <i/>
        <color theme="0"/>
      </font>
      <fill>
        <patternFill patternType="solid">
          <fgColor auto="1"/>
          <bgColor rgb="FFAD8A56"/>
        </patternFill>
      </fill>
      <border>
        <left style="thin">
          <color auto="1"/>
        </left>
        <right style="thin">
          <color auto="1"/>
        </right>
        <top style="thin">
          <color auto="1"/>
        </top>
        <bottom style="thin">
          <color auto="1"/>
        </bottom>
      </border>
    </dxf>
    <dxf>
      <fill>
        <patternFill>
          <bgColor rgb="FFFFFF99"/>
        </patternFill>
      </fill>
    </dxf>
    <dxf>
      <font>
        <b/>
        <i/>
        <color theme="0"/>
      </font>
      <fill>
        <patternFill>
          <bgColor rgb="FF00B0F0"/>
        </patternFill>
      </fill>
      <border>
        <left style="thin">
          <color auto="1"/>
        </left>
        <right style="thin">
          <color auto="1"/>
        </right>
        <top style="thin">
          <color auto="1"/>
        </top>
        <bottom style="thin">
          <color auto="1"/>
        </bottom>
        <vertical/>
        <horizontal/>
      </border>
    </dxf>
    <dxf>
      <font>
        <strike val="0"/>
        <outline val="0"/>
        <shadow val="0"/>
        <u val="none"/>
        <vertAlign val="baseline"/>
        <sz val="11"/>
        <color theme="1"/>
        <name val="Calibri"/>
        <scheme val="minor"/>
      </font>
      <alignment horizontal="center" vertical="center" textRotation="0" wrapText="0" indent="0" justifyLastLine="0" shrinkToFit="0" readingOrder="0"/>
    </dxf>
    <dxf>
      <font>
        <strike val="0"/>
        <outline val="0"/>
        <shadow val="0"/>
        <u val="none"/>
        <vertAlign val="baseline"/>
        <sz val="11"/>
        <color theme="1"/>
        <name val="Calibri"/>
        <scheme val="minor"/>
      </font>
      <numFmt numFmtId="0" formatCode="General"/>
      <alignment horizontal="center" vertical="center" textRotation="0" wrapText="0" indent="0" justifyLastLine="0" shrinkToFit="0" readingOrder="0"/>
    </dxf>
    <dxf>
      <font>
        <strike val="0"/>
        <outline val="0"/>
        <shadow val="0"/>
        <u val="none"/>
        <vertAlign val="baseline"/>
        <sz val="11"/>
        <color theme="1"/>
        <name val="Calibri"/>
        <scheme val="minor"/>
      </font>
      <numFmt numFmtId="0" formatCode="General"/>
      <alignment horizontal="center" vertical="center" textRotation="0" wrapText="0" indent="0" justifyLastLine="0" shrinkToFit="0" readingOrder="0"/>
    </dxf>
    <dxf>
      <font>
        <strike val="0"/>
        <outline val="0"/>
        <shadow val="0"/>
        <u val="none"/>
        <vertAlign val="baseline"/>
        <sz val="11"/>
        <color theme="1"/>
        <name val="Calibri"/>
        <scheme val="minor"/>
      </font>
      <alignment horizontal="center" vertical="center" textRotation="0" wrapText="0" indent="0" justifyLastLine="0" shrinkToFit="0" readingOrder="0"/>
    </dxf>
    <dxf>
      <font>
        <strike val="0"/>
        <outline val="0"/>
        <shadow val="0"/>
        <u val="none"/>
        <vertAlign val="baseline"/>
        <sz val="11"/>
        <color theme="1"/>
        <name val="Calibri"/>
        <scheme val="minor"/>
      </font>
      <alignment horizontal="center" vertical="center" textRotation="0" wrapText="0" indent="0" justifyLastLine="0" shrinkToFit="0" readingOrder="0"/>
    </dxf>
    <dxf>
      <fill>
        <patternFill patternType="solid">
          <fgColor indexed="64"/>
          <bgColor theme="5"/>
        </patternFill>
      </fill>
    </dxf>
    <dxf>
      <font>
        <strike val="0"/>
        <outline val="0"/>
        <shadow val="0"/>
        <u val="none"/>
        <vertAlign val="baseline"/>
        <sz val="11"/>
        <color theme="1"/>
        <name val="Calibri"/>
        <scheme val="minor"/>
      </font>
      <alignment horizontal="center" vertical="center" textRotation="0" wrapText="0" indent="0" justifyLastLine="0" shrinkToFit="0" readingOrder="0"/>
    </dxf>
    <dxf>
      <font>
        <strike val="0"/>
        <outline val="0"/>
        <shadow val="0"/>
        <u val="none"/>
        <vertAlign val="baseline"/>
        <sz val="11"/>
        <color theme="1"/>
        <name val="Calibri"/>
        <scheme val="minor"/>
      </font>
      <numFmt numFmtId="0" formatCode="General"/>
      <alignment horizontal="center" vertical="center" textRotation="0" wrapText="0" indent="0" justifyLastLine="0" shrinkToFit="0" readingOrder="0"/>
    </dxf>
    <dxf>
      <font>
        <strike val="0"/>
        <outline val="0"/>
        <shadow val="0"/>
        <u val="none"/>
        <vertAlign val="baseline"/>
        <sz val="11"/>
        <color theme="1"/>
        <name val="Calibri"/>
        <scheme val="minor"/>
      </font>
      <numFmt numFmtId="0" formatCode="General"/>
      <alignment horizontal="center" vertical="center" textRotation="0" wrapText="0" indent="0" justifyLastLine="0" shrinkToFit="0" readingOrder="0"/>
    </dxf>
    <dxf>
      <font>
        <strike val="0"/>
        <outline val="0"/>
        <shadow val="0"/>
        <u val="none"/>
        <vertAlign val="baseline"/>
        <sz val="11"/>
        <color theme="1"/>
        <name val="Calibri"/>
        <scheme val="minor"/>
      </font>
      <alignment horizontal="center" vertical="center" textRotation="0" wrapText="0" indent="0" justifyLastLine="0" shrinkToFit="0" readingOrder="0"/>
    </dxf>
    <dxf>
      <font>
        <strike val="0"/>
        <outline val="0"/>
        <shadow val="0"/>
        <u val="none"/>
        <vertAlign val="baseline"/>
        <sz val="11"/>
        <color theme="1"/>
        <name val="Calibri"/>
        <scheme val="minor"/>
      </font>
      <alignment horizontal="center" vertical="center" textRotation="0" wrapText="0" indent="0" justifyLastLine="0" shrinkToFit="0" readingOrder="0"/>
    </dxf>
    <dxf>
      <fill>
        <patternFill patternType="solid">
          <fgColor indexed="64"/>
          <bgColor theme="5"/>
        </patternFill>
      </fill>
    </dxf>
    <dxf>
      <font>
        <strike val="0"/>
        <outline val="0"/>
        <shadow val="0"/>
        <u val="none"/>
        <vertAlign val="baseline"/>
        <sz val="11"/>
        <color theme="1"/>
        <name val="Calibri"/>
        <scheme val="minor"/>
      </font>
      <alignment horizontal="center" vertical="center" textRotation="0" wrapText="0" indent="0" justifyLastLine="0" shrinkToFit="0" readingOrder="0"/>
    </dxf>
    <dxf>
      <font>
        <strike val="0"/>
        <outline val="0"/>
        <shadow val="0"/>
        <u val="none"/>
        <vertAlign val="baseline"/>
        <sz val="11"/>
        <color theme="1"/>
        <name val="Calibri"/>
        <scheme val="minor"/>
      </font>
      <numFmt numFmtId="0" formatCode="General"/>
      <alignment horizontal="center" vertical="center" textRotation="0" wrapText="0" indent="0" justifyLastLine="0" shrinkToFit="0" readingOrder="0"/>
    </dxf>
    <dxf>
      <font>
        <strike val="0"/>
        <outline val="0"/>
        <shadow val="0"/>
        <u val="none"/>
        <vertAlign val="baseline"/>
        <sz val="11"/>
        <color theme="1"/>
        <name val="Calibri"/>
        <scheme val="minor"/>
      </font>
      <numFmt numFmtId="0" formatCode="General"/>
      <alignment horizontal="center" vertical="center" textRotation="0" wrapText="0" indent="0" justifyLastLine="0" shrinkToFit="0" readingOrder="0"/>
    </dxf>
    <dxf>
      <font>
        <strike val="0"/>
        <outline val="0"/>
        <shadow val="0"/>
        <u val="none"/>
        <vertAlign val="baseline"/>
        <sz val="11"/>
        <color theme="1"/>
        <name val="Calibri"/>
        <scheme val="minor"/>
      </font>
      <alignment horizontal="center" vertical="center" textRotation="0" wrapText="0" indent="0" justifyLastLine="0" shrinkToFit="0" readingOrder="0"/>
    </dxf>
    <dxf>
      <font>
        <strike val="0"/>
        <outline val="0"/>
        <shadow val="0"/>
        <u val="none"/>
        <vertAlign val="baseline"/>
        <sz val="11"/>
        <color theme="1"/>
        <name val="Calibri"/>
        <scheme val="minor"/>
      </font>
      <alignment horizontal="center" vertical="center" textRotation="0" wrapText="0" indent="0" justifyLastLine="0" shrinkToFit="0" readingOrder="0"/>
    </dxf>
    <dxf>
      <fill>
        <patternFill patternType="solid">
          <fgColor indexed="64"/>
          <bgColor theme="5"/>
        </patternFill>
      </fill>
    </dxf>
    <dxf>
      <font>
        <strike val="0"/>
        <outline val="0"/>
        <shadow val="0"/>
        <u val="none"/>
        <vertAlign val="baseline"/>
        <sz val="11"/>
        <color theme="1"/>
        <name val="Calibri"/>
        <scheme val="minor"/>
      </font>
      <alignment horizontal="center" vertical="center" textRotation="0" wrapText="0" indent="0" justifyLastLine="0" shrinkToFit="0" readingOrder="0"/>
    </dxf>
    <dxf>
      <font>
        <strike val="0"/>
        <outline val="0"/>
        <shadow val="0"/>
        <u val="none"/>
        <vertAlign val="baseline"/>
        <sz val="11"/>
        <color theme="1"/>
        <name val="Calibri"/>
        <scheme val="minor"/>
      </font>
      <numFmt numFmtId="0" formatCode="General"/>
      <alignment horizontal="center" vertical="center" textRotation="0" wrapText="0" indent="0" justifyLastLine="0" shrinkToFit="0" readingOrder="0"/>
    </dxf>
    <dxf>
      <font>
        <strike val="0"/>
        <outline val="0"/>
        <shadow val="0"/>
        <u val="none"/>
        <vertAlign val="baseline"/>
        <sz val="11"/>
        <color theme="1"/>
        <name val="Calibri"/>
        <scheme val="minor"/>
      </font>
      <numFmt numFmtId="0" formatCode="General"/>
      <alignment horizontal="center" vertical="center" textRotation="0" wrapText="0" indent="0" justifyLastLine="0" shrinkToFit="0" readingOrder="0"/>
    </dxf>
    <dxf>
      <font>
        <strike val="0"/>
        <outline val="0"/>
        <shadow val="0"/>
        <u val="none"/>
        <vertAlign val="baseline"/>
        <sz val="11"/>
        <color theme="1"/>
        <name val="Calibri"/>
        <scheme val="minor"/>
      </font>
      <alignment horizontal="center" vertical="center" textRotation="0" wrapText="0" indent="0" justifyLastLine="0" shrinkToFit="0" readingOrder="0"/>
    </dxf>
    <dxf>
      <font>
        <strike val="0"/>
        <outline val="0"/>
        <shadow val="0"/>
        <u val="none"/>
        <vertAlign val="baseline"/>
        <sz val="11"/>
        <color theme="1"/>
        <name val="Calibri"/>
        <scheme val="minor"/>
      </font>
      <alignment horizontal="center" vertical="center" textRotation="0" wrapText="0" indent="0" justifyLastLine="0" shrinkToFit="0" readingOrder="0"/>
    </dxf>
    <dxf>
      <fill>
        <patternFill patternType="solid">
          <fgColor indexed="64"/>
          <bgColor rgb="FF016DB6"/>
        </patternFill>
      </fill>
    </dxf>
    <dxf>
      <font>
        <strike val="0"/>
        <outline val="0"/>
        <shadow val="0"/>
        <u val="none"/>
        <vertAlign val="baseline"/>
        <sz val="11"/>
        <color theme="1"/>
        <name val="Calibri"/>
        <scheme val="minor"/>
      </font>
      <alignment horizontal="center" vertical="center" textRotation="0" wrapText="0" indent="0" justifyLastLine="0" shrinkToFit="0" readingOrder="0"/>
    </dxf>
    <dxf>
      <font>
        <strike val="0"/>
        <outline val="0"/>
        <shadow val="0"/>
        <u val="none"/>
        <vertAlign val="baseline"/>
        <sz val="11"/>
        <color theme="1"/>
        <name val="Calibri"/>
        <scheme val="minor"/>
      </font>
      <numFmt numFmtId="0" formatCode="General"/>
      <alignment horizontal="center" vertical="center" textRotation="0" wrapText="0" indent="0" justifyLastLine="0" shrinkToFit="0" readingOrder="0"/>
    </dxf>
    <dxf>
      <font>
        <strike val="0"/>
        <outline val="0"/>
        <shadow val="0"/>
        <u val="none"/>
        <vertAlign val="baseline"/>
        <sz val="11"/>
        <color theme="1"/>
        <name val="Calibri"/>
        <scheme val="minor"/>
      </font>
      <numFmt numFmtId="0" formatCode="General"/>
      <alignment horizontal="center" vertical="center" textRotation="0" wrapText="0" indent="0" justifyLastLine="0" shrinkToFit="0" readingOrder="0"/>
    </dxf>
    <dxf>
      <font>
        <strike val="0"/>
        <outline val="0"/>
        <shadow val="0"/>
        <u val="none"/>
        <vertAlign val="baseline"/>
        <sz val="11"/>
        <color theme="1"/>
        <name val="Calibri"/>
        <scheme val="minor"/>
      </font>
      <alignment horizontal="center" vertical="center" textRotation="0" wrapText="0" indent="0" justifyLastLine="0" shrinkToFit="0" readingOrder="0"/>
    </dxf>
    <dxf>
      <font>
        <strike val="0"/>
        <outline val="0"/>
        <shadow val="0"/>
        <u val="none"/>
        <vertAlign val="baseline"/>
        <sz val="11"/>
        <color theme="1"/>
        <name val="Calibri"/>
        <scheme val="minor"/>
      </font>
      <alignment horizontal="center" vertical="center" textRotation="0" wrapText="0" indent="0" justifyLastLine="0" shrinkToFit="0" readingOrder="0"/>
    </dxf>
    <dxf>
      <fill>
        <patternFill patternType="solid">
          <fgColor indexed="64"/>
          <bgColor rgb="FF00963F"/>
        </patternFill>
      </fill>
    </dxf>
    <dxf>
      <font>
        <strike val="0"/>
        <outline val="0"/>
        <shadow val="0"/>
        <u val="none"/>
        <vertAlign val="baseline"/>
        <sz val="11"/>
        <color theme="1"/>
        <name val="Calibri"/>
        <scheme val="minor"/>
      </font>
      <alignment horizontal="center" vertical="center" textRotation="0" wrapText="0" indent="0" justifyLastLine="0" shrinkToFit="0" readingOrder="0"/>
    </dxf>
    <dxf>
      <font>
        <strike val="0"/>
        <outline val="0"/>
        <shadow val="0"/>
        <u val="none"/>
        <vertAlign val="baseline"/>
        <sz val="11"/>
        <color theme="1"/>
        <name val="Calibri"/>
        <scheme val="minor"/>
      </font>
      <numFmt numFmtId="0" formatCode="General"/>
      <alignment horizontal="center" vertical="center" textRotation="0" wrapText="0" indent="0" justifyLastLine="0" shrinkToFit="0" readingOrder="0"/>
    </dxf>
    <dxf>
      <font>
        <strike val="0"/>
        <outline val="0"/>
        <shadow val="0"/>
        <u val="none"/>
        <vertAlign val="baseline"/>
        <sz val="11"/>
        <color theme="1"/>
        <name val="Calibri"/>
        <scheme val="minor"/>
      </font>
      <numFmt numFmtId="0" formatCode="General"/>
      <alignment horizontal="center" vertical="center" textRotation="0" wrapText="0" indent="0" justifyLastLine="0" shrinkToFit="0" readingOrder="0"/>
    </dxf>
    <dxf>
      <font>
        <strike val="0"/>
        <outline val="0"/>
        <shadow val="0"/>
        <u val="none"/>
        <vertAlign val="baseline"/>
        <sz val="11"/>
        <color theme="1"/>
        <name val="Calibri"/>
        <scheme val="minor"/>
      </font>
      <alignment horizontal="center" vertical="center" textRotation="0" wrapText="0" indent="0" justifyLastLine="0" shrinkToFit="0" readingOrder="0"/>
    </dxf>
    <dxf>
      <font>
        <strike val="0"/>
        <outline val="0"/>
        <shadow val="0"/>
        <u val="none"/>
        <vertAlign val="baseline"/>
        <sz val="11"/>
        <color theme="1"/>
        <name val="Calibri"/>
        <scheme val="minor"/>
      </font>
      <alignment horizontal="center" vertical="center" textRotation="0" wrapText="0" indent="0" justifyLastLine="0" shrinkToFit="0" readingOrder="0"/>
    </dxf>
    <dxf>
      <fill>
        <patternFill patternType="solid">
          <fgColor indexed="64"/>
          <bgColor rgb="FFE40613"/>
        </patternFill>
      </fill>
    </dxf>
    <dxf>
      <font>
        <strike val="0"/>
        <outline val="0"/>
        <shadow val="0"/>
        <u val="none"/>
        <vertAlign val="baseline"/>
        <sz val="11"/>
        <color theme="1"/>
        <name val="Calibri"/>
        <scheme val="minor"/>
      </font>
      <alignment horizontal="center" vertical="center" textRotation="0" wrapText="0" indent="0" justifyLastLine="0" shrinkToFit="0" readingOrder="0"/>
    </dxf>
    <dxf>
      <font>
        <strike val="0"/>
        <outline val="0"/>
        <shadow val="0"/>
        <u val="none"/>
        <vertAlign val="baseline"/>
        <sz val="11"/>
        <color theme="1"/>
        <name val="Calibri"/>
        <scheme val="minor"/>
      </font>
      <numFmt numFmtId="0" formatCode="General"/>
      <alignment horizontal="center" vertical="center" textRotation="0" wrapText="0" indent="0" justifyLastLine="0" shrinkToFit="0" readingOrder="0"/>
    </dxf>
    <dxf>
      <font>
        <strike val="0"/>
        <outline val="0"/>
        <shadow val="0"/>
        <u val="none"/>
        <vertAlign val="baseline"/>
        <sz val="11"/>
        <color theme="1"/>
        <name val="Calibri"/>
        <scheme val="minor"/>
      </font>
      <numFmt numFmtId="0" formatCode="General"/>
      <alignment horizontal="center" vertical="center" textRotation="0" wrapText="0" indent="0" justifyLastLine="0" shrinkToFit="0" readingOrder="0"/>
    </dxf>
    <dxf>
      <font>
        <strike val="0"/>
        <outline val="0"/>
        <shadow val="0"/>
        <u val="none"/>
        <vertAlign val="baseline"/>
        <sz val="11"/>
        <color theme="1"/>
        <name val="Calibri"/>
        <scheme val="minor"/>
      </font>
      <alignment horizontal="center" vertical="center" textRotation="0" wrapText="0" indent="0" justifyLastLine="0" shrinkToFit="0" readingOrder="0"/>
    </dxf>
    <dxf>
      <font>
        <strike val="0"/>
        <outline val="0"/>
        <shadow val="0"/>
        <u val="none"/>
        <vertAlign val="baseline"/>
        <sz val="11"/>
        <color theme="1"/>
        <name val="Calibri"/>
        <scheme val="minor"/>
      </font>
      <alignment horizontal="center" vertical="center" textRotation="0" wrapText="0" indent="0" justifyLastLine="0" shrinkToFit="0" readingOrder="0"/>
    </dxf>
    <dxf>
      <fill>
        <patternFill patternType="solid">
          <fgColor indexed="64"/>
          <bgColor rgb="FF00B0F0"/>
        </patternFill>
      </fill>
    </dxf>
    <dxf>
      <font>
        <strike val="0"/>
        <outline val="0"/>
        <shadow val="0"/>
        <u val="none"/>
        <vertAlign val="baseline"/>
        <sz val="11"/>
        <color theme="1"/>
        <name val="Calibri"/>
        <scheme val="minor"/>
      </font>
      <alignment horizontal="center" vertical="center" textRotation="0" wrapText="0" indent="0" justifyLastLine="0" shrinkToFit="0" readingOrder="0"/>
    </dxf>
    <dxf>
      <font>
        <strike val="0"/>
        <outline val="0"/>
        <shadow val="0"/>
        <u val="none"/>
        <vertAlign val="baseline"/>
        <sz val="11"/>
        <color theme="1"/>
        <name val="Calibri"/>
        <scheme val="minor"/>
      </font>
      <numFmt numFmtId="0" formatCode="General"/>
      <alignment horizontal="center" vertical="center" textRotation="0" wrapText="0" indent="0" justifyLastLine="0" shrinkToFit="0" readingOrder="0"/>
    </dxf>
    <dxf>
      <font>
        <strike val="0"/>
        <outline val="0"/>
        <shadow val="0"/>
        <u val="none"/>
        <vertAlign val="baseline"/>
        <sz val="11"/>
        <color theme="1"/>
        <name val="Calibri"/>
        <scheme val="minor"/>
      </font>
      <numFmt numFmtId="0" formatCode="General"/>
      <alignment horizontal="center" vertical="center" textRotation="0" wrapText="0" indent="0" justifyLastLine="0" shrinkToFit="0" readingOrder="0"/>
    </dxf>
    <dxf>
      <font>
        <strike val="0"/>
        <outline val="0"/>
        <shadow val="0"/>
        <u val="none"/>
        <vertAlign val="baseline"/>
        <sz val="11"/>
        <color theme="1"/>
        <name val="Calibri"/>
        <scheme val="minor"/>
      </font>
      <alignment horizontal="center" vertical="center" textRotation="0" wrapText="0" indent="0" justifyLastLine="0" shrinkToFit="0" readingOrder="0"/>
    </dxf>
    <dxf>
      <font>
        <strike val="0"/>
        <outline val="0"/>
        <shadow val="0"/>
        <u val="none"/>
        <vertAlign val="baseline"/>
        <sz val="11"/>
        <color theme="1"/>
        <name val="Calibri"/>
        <scheme val="minor"/>
      </font>
      <alignment horizontal="center" vertical="center" textRotation="0" wrapText="0" indent="0" justifyLastLine="0" shrinkToFit="0" readingOrder="0"/>
    </dxf>
    <dxf>
      <fill>
        <patternFill patternType="solid">
          <fgColor indexed="64"/>
          <bgColor rgb="FF7030A0"/>
        </patternFill>
      </fill>
    </dxf>
    <dxf>
      <font>
        <b/>
        <strike val="0"/>
        <outline val="0"/>
        <shadow val="0"/>
        <u val="none"/>
        <vertAlign val="baseline"/>
        <sz val="12"/>
        <color rgb="FF000000"/>
        <name val="Calibri"/>
        <scheme val="none"/>
      </font>
      <numFmt numFmtId="164" formatCode=";;;"/>
      <fill>
        <patternFill patternType="none">
          <fgColor indexed="64"/>
          <bgColor auto="1"/>
        </patternFill>
      </fill>
      <alignment horizontal="center" vertical="center" textRotation="0" wrapText="0" indent="0" justifyLastLine="0" shrinkToFit="0" readingOrder="0"/>
      <protection locked="0" hidden="0"/>
    </dxf>
    <dxf>
      <font>
        <b/>
        <strike val="0"/>
        <outline val="0"/>
        <shadow val="0"/>
        <u val="none"/>
        <vertAlign val="baseline"/>
        <sz val="12"/>
        <color rgb="FF000000"/>
        <name val="Calibri"/>
        <scheme val="none"/>
      </font>
      <numFmt numFmtId="164" formatCode=";;;"/>
      <fill>
        <patternFill patternType="none">
          <fgColor indexed="64"/>
          <bgColor auto="1"/>
        </patternFill>
      </fill>
      <alignment horizontal="center" vertical="center" textRotation="0" wrapText="0" indent="0" justifyLastLine="0" shrinkToFit="0" readingOrder="0"/>
      <protection locked="0" hidden="0"/>
    </dxf>
    <dxf>
      <font>
        <b/>
        <strike val="0"/>
        <outline val="0"/>
        <shadow val="0"/>
        <u val="none"/>
        <vertAlign val="baseline"/>
        <sz val="12"/>
        <color rgb="FF000000"/>
        <name val="Calibri"/>
        <scheme val="none"/>
      </font>
      <numFmt numFmtId="164" formatCode=";;;"/>
      <fill>
        <patternFill patternType="none">
          <fgColor indexed="64"/>
          <bgColor auto="1"/>
        </patternFill>
      </fill>
      <alignment horizontal="center" vertical="center" textRotation="0" wrapText="0" indent="0" justifyLastLine="0" shrinkToFit="0" readingOrder="0"/>
      <protection locked="0" hidden="0"/>
    </dxf>
    <dxf>
      <font>
        <b/>
        <strike val="0"/>
        <outline val="0"/>
        <shadow val="0"/>
        <u val="none"/>
        <vertAlign val="baseline"/>
        <sz val="12"/>
        <color theme="1"/>
        <name val="Calibri"/>
        <scheme val="minor"/>
      </font>
      <numFmt numFmtId="0" formatCode="General"/>
      <fill>
        <patternFill patternType="none">
          <fgColor indexed="64"/>
          <bgColor auto="1"/>
        </patternFill>
      </fill>
      <alignment horizontal="center" vertical="center" textRotation="0" wrapText="0" indent="0" justifyLastLine="0" shrinkToFit="0" readingOrder="0"/>
      <protection locked="1" hidden="0"/>
    </dxf>
    <dxf>
      <font>
        <b/>
        <strike val="0"/>
        <outline val="0"/>
        <shadow val="0"/>
        <u val="none"/>
        <vertAlign val="baseline"/>
        <sz val="12"/>
        <color theme="1"/>
        <name val="Calibri"/>
        <scheme val="minor"/>
      </font>
      <numFmt numFmtId="1" formatCode="0"/>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2"/>
        <color theme="1"/>
        <name val="Calibri"/>
        <scheme val="minor"/>
      </font>
      <numFmt numFmtId="0" formatCode="General"/>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2"/>
        <color theme="1"/>
        <name val="Calibri"/>
        <scheme val="minor"/>
      </font>
      <numFmt numFmtId="0" formatCode="General"/>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2"/>
        <color theme="1"/>
        <name val="Calibri"/>
        <scheme val="minor"/>
      </font>
      <numFmt numFmtId="0" formatCode="General"/>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2"/>
        <color theme="1"/>
        <name val="Calibri"/>
        <scheme val="minor"/>
      </font>
      <numFmt numFmtId="0" formatCode="General"/>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numFmt numFmtId="0" formatCode="General"/>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numFmt numFmtId="0" formatCode="General"/>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numFmt numFmtId="0" formatCode="General"/>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numFmt numFmtId="0" formatCode="General"/>
      <fill>
        <patternFill patternType="none">
          <fgColor indexed="64"/>
          <bgColor auto="1"/>
        </patternFill>
      </fill>
      <alignment horizontal="center" vertical="center" textRotation="0" wrapText="0" indent="0" justifyLastLine="0" shrinkToFit="0" readingOrder="0"/>
      <protection locked="0" hidden="0"/>
    </dxf>
    <dxf>
      <font>
        <i/>
        <strike val="0"/>
        <outline val="0"/>
        <shadow val="0"/>
        <u val="none"/>
        <vertAlign val="baseline"/>
        <sz val="12"/>
        <color rgb="FFFF0000"/>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protection locked="1" hidden="0"/>
    </dxf>
    <dxf>
      <font>
        <b val="0"/>
        <i/>
        <strike val="0"/>
        <condense val="0"/>
        <extend val="0"/>
        <outline val="0"/>
        <shadow val="0"/>
        <u val="none"/>
        <vertAlign val="baseline"/>
        <sz val="12"/>
        <color rgb="FFFF0000"/>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protection locked="1" hidden="0"/>
    </dxf>
    <dxf>
      <font>
        <b val="0"/>
        <i/>
        <strike val="0"/>
        <condense val="0"/>
        <extend val="0"/>
        <outline val="0"/>
        <shadow val="0"/>
        <u val="none"/>
        <vertAlign val="baseline"/>
        <sz val="12"/>
        <color rgb="FFFF0000"/>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protection locked="1" hidden="0"/>
    </dxf>
    <dxf>
      <font>
        <b val="0"/>
        <i/>
        <strike val="0"/>
        <condense val="0"/>
        <extend val="0"/>
        <outline val="0"/>
        <shadow val="0"/>
        <u val="none"/>
        <vertAlign val="baseline"/>
        <sz val="12"/>
        <color rgb="FFFF0000"/>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protection locked="1" hidden="0"/>
    </dxf>
    <dxf>
      <font>
        <b val="0"/>
        <i/>
        <strike val="0"/>
        <condense val="0"/>
        <extend val="0"/>
        <outline val="0"/>
        <shadow val="0"/>
        <u val="none"/>
        <vertAlign val="baseline"/>
        <sz val="12"/>
        <color rgb="FFFF0000"/>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protection locked="1" hidden="0"/>
    </dxf>
    <dxf>
      <font>
        <i/>
        <strike val="0"/>
        <outline val="0"/>
        <shadow val="0"/>
        <u val="none"/>
        <vertAlign val="baseline"/>
        <sz val="12"/>
        <color rgb="FFFF0000"/>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protection locked="1" hidden="0"/>
    </dxf>
    <dxf>
      <font>
        <i/>
        <strike val="0"/>
        <outline val="0"/>
        <shadow val="0"/>
        <u val="none"/>
        <vertAlign val="baseline"/>
        <sz val="12"/>
        <color rgb="FFFF0000"/>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protection locked="1" hidden="0"/>
    </dxf>
    <dxf>
      <font>
        <i/>
        <strike val="0"/>
        <outline val="0"/>
        <shadow val="0"/>
        <u val="none"/>
        <vertAlign val="baseline"/>
        <sz val="12"/>
        <color rgb="FFFF0000"/>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protection locked="1" hidden="0"/>
    </dxf>
    <dxf>
      <font>
        <i/>
        <strike val="0"/>
        <outline val="0"/>
        <shadow val="0"/>
        <u val="none"/>
        <vertAlign val="baseline"/>
        <sz val="12"/>
        <color rgb="FFFF0000"/>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protection locked="1" hidden="0"/>
    </dxf>
    <dxf>
      <font>
        <i/>
        <strike val="0"/>
        <outline val="0"/>
        <shadow val="0"/>
        <u val="none"/>
        <vertAlign val="baseline"/>
        <sz val="12"/>
        <color rgb="FFFF0000"/>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protection locked="1" hidden="0"/>
    </dxf>
    <dxf>
      <font>
        <strike val="0"/>
        <outline val="0"/>
        <shadow val="0"/>
        <u val="none"/>
        <vertAlign val="baseline"/>
        <sz val="12"/>
        <color theme="1"/>
        <name val="Calibri"/>
        <scheme val="minor"/>
      </font>
      <numFmt numFmtId="0" formatCode="General"/>
      <fill>
        <patternFill patternType="none">
          <fgColor indexed="64"/>
          <bgColor auto="1"/>
        </patternFill>
      </fill>
      <alignment horizontal="left" vertical="center" textRotation="0" wrapText="0" indent="0" justifyLastLine="0" shrinkToFit="0" readingOrder="0"/>
      <protection locked="1" hidden="0"/>
    </dxf>
    <dxf>
      <font>
        <strike val="0"/>
        <outline val="0"/>
        <shadow val="0"/>
        <u val="none"/>
        <vertAlign val="baseline"/>
        <sz val="12"/>
        <color theme="1"/>
        <name val="Calibri"/>
        <scheme val="minor"/>
      </font>
      <fill>
        <patternFill patternType="none">
          <fgColor indexed="64"/>
          <bgColor auto="1"/>
        </patternFill>
      </fill>
      <alignment horizontal="center" vertical="center" textRotation="0" wrapText="0" indent="0" justifyLastLine="0" shrinkToFit="0" readingOrder="0"/>
      <protection locked="1" hidden="0"/>
    </dxf>
    <dxf>
      <font>
        <strike val="0"/>
        <outline val="0"/>
        <shadow val="0"/>
        <u val="none"/>
        <vertAlign val="baseline"/>
        <sz val="12"/>
        <color rgb="FF000000"/>
        <name val="Calibri"/>
        <scheme val="none"/>
      </font>
      <fill>
        <patternFill patternType="none">
          <fgColor indexed="64"/>
          <bgColor auto="1"/>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4"/>
        <color theme="1"/>
        <name val="Calibri"/>
        <scheme val="minor"/>
      </font>
      <fill>
        <patternFill>
          <fgColor indexed="64"/>
          <bgColor theme="0"/>
        </patternFill>
      </fill>
      <alignment horizontal="center" vertical="center" textRotation="90" wrapText="0" indent="0" justifyLastLine="0" shrinkToFit="0" readingOrder="0"/>
      <border diagonalUp="0" diagonalDown="0">
        <left style="thin">
          <color rgb="FFE40613"/>
        </left>
        <right style="thin">
          <color rgb="FFE40613"/>
        </right>
        <top/>
        <bottom/>
        <vertical style="thin">
          <color rgb="FFE40613"/>
        </vertical>
        <horizontal style="thin">
          <color rgb="FFE40613"/>
        </horizontal>
      </border>
      <protection locked="1" hidden="0"/>
    </dxf>
    <dxf>
      <font>
        <b/>
        <strike val="0"/>
        <outline val="0"/>
        <shadow val="0"/>
        <u val="none"/>
        <vertAlign val="baseline"/>
        <sz val="12"/>
        <color theme="1"/>
        <name val="Calibri"/>
        <family val="2"/>
        <scheme val="minor"/>
      </font>
      <numFmt numFmtId="0" formatCode="General"/>
    </dxf>
    <dxf>
      <font>
        <strike val="0"/>
        <outline val="0"/>
        <shadow val="0"/>
        <u val="none"/>
        <vertAlign val="baseline"/>
        <sz val="12"/>
        <color theme="1"/>
        <name val="Calibri"/>
        <family val="2"/>
        <scheme val="minor"/>
      </font>
      <alignment horizontal="center" vertical="center" textRotation="0" wrapText="0" indent="0" justifyLastLine="0" shrinkToFit="0" readingOrder="0"/>
    </dxf>
    <dxf>
      <font>
        <strike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numFmt numFmtId="0" formatCode="General"/>
    </dxf>
    <dxf>
      <border outline="0">
        <bottom style="thin">
          <color indexed="64"/>
        </bottom>
      </border>
    </dxf>
    <dxf>
      <font>
        <b/>
        <i val="0"/>
        <strike val="0"/>
        <condense val="0"/>
        <extend val="0"/>
        <outline val="0"/>
        <shadow val="0"/>
        <u val="none"/>
        <vertAlign val="baseline"/>
        <sz val="14"/>
        <color theme="1"/>
        <name val="Calibri"/>
        <family val="2"/>
        <scheme val="minor"/>
      </font>
      <fill>
        <patternFill patternType="solid">
          <fgColor indexed="64"/>
          <bgColor theme="9" tint="0.39997558519241921"/>
        </patternFill>
      </fill>
      <alignment horizontal="center" vertical="center" textRotation="90" wrapText="0" indent="0" justifyLastLine="0" shrinkToFit="0" readingOrder="0"/>
    </dxf>
    <dxf>
      <font>
        <b/>
        <strike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0" indent="0" justifyLastLine="0" shrinkToFit="0" readingOrder="0"/>
      <protection locked="0" hidden="0"/>
    </dxf>
    <dxf>
      <font>
        <strike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0" indent="0" justifyLastLine="0" shrinkToFit="0" readingOrder="0"/>
      <protection locked="0" hidden="0"/>
    </dxf>
    <dxf>
      <font>
        <strike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0" indent="0" justifyLastLine="0" shrinkToFit="0" readingOrder="0"/>
      <protection locked="0" hidden="0"/>
    </dxf>
    <dxf>
      <font>
        <strike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0" indent="0" justifyLastLine="0" shrinkToFit="0" readingOrder="0"/>
      <protection locked="0" hidden="0"/>
    </dxf>
    <dxf>
      <font>
        <strike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0" indent="0" justifyLastLine="0" shrinkToFit="0" readingOrder="0"/>
      <protection locked="0" hidden="0"/>
    </dxf>
    <dxf>
      <font>
        <strike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0" indent="0" justifyLastLine="0" shrinkToFit="0" readingOrder="0"/>
      <protection locked="0" hidden="0"/>
    </dxf>
    <dxf>
      <font>
        <strike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0" indent="0" justifyLastLine="0" shrinkToFit="0" readingOrder="0"/>
      <protection locked="0" hidden="0"/>
    </dxf>
    <dxf>
      <font>
        <strike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0" indent="0" justifyLastLine="0" shrinkToFit="0" readingOrder="0"/>
      <protection locked="0" hidden="0"/>
    </dxf>
    <dxf>
      <font>
        <strike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0" indent="0" justifyLastLine="0" shrinkToFit="0" readingOrder="0"/>
      <protection locked="0" hidden="0"/>
    </dxf>
    <dxf>
      <font>
        <strike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0" indent="0" justifyLastLine="0" shrinkToFit="0" readingOrder="0"/>
      <protection locked="0" hidden="0"/>
    </dxf>
    <dxf>
      <font>
        <strike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0" indent="0" justifyLastLine="0" shrinkToFit="0" readingOrder="0"/>
      <protection locked="0" hidden="0"/>
    </dxf>
    <dxf>
      <font>
        <strike val="0"/>
        <outline val="0"/>
        <shadow val="0"/>
        <u val="none"/>
        <vertAlign val="baseline"/>
        <sz val="12"/>
        <color theme="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14"/>
        <color theme="1"/>
        <name val="Calibri"/>
        <scheme val="minor"/>
      </font>
      <fill>
        <patternFill patternType="solid">
          <fgColor indexed="64"/>
          <bgColor theme="0"/>
        </patternFill>
      </fill>
      <alignment horizontal="center" vertical="center" textRotation="90" wrapText="0" indent="0" justifyLastLine="0" shrinkToFit="0" readingOrder="0"/>
      <border diagonalUp="0" diagonalDown="0">
        <left style="thin">
          <color rgb="FF92D050"/>
        </left>
        <right style="thin">
          <color rgb="FF92D050"/>
        </right>
        <top/>
        <bottom/>
        <vertical style="thin">
          <color rgb="FF92D050"/>
        </vertical>
        <horizontal style="thin">
          <color rgb="FF92D050"/>
        </horizontal>
      </border>
      <protection locked="1" hidden="0"/>
    </dxf>
    <dxf>
      <font>
        <b/>
        <strike val="0"/>
        <outline val="0"/>
        <shadow val="0"/>
        <u val="none"/>
        <vertAlign val="baseline"/>
        <sz val="12"/>
        <color theme="1"/>
        <name val="Calibri"/>
        <family val="2"/>
        <scheme val="minor"/>
      </font>
      <alignment horizontal="center" vertical="center" textRotation="0" wrapText="0" indent="0" justifyLastLine="0" shrinkToFit="0" readingOrder="0"/>
    </dxf>
    <dxf>
      <font>
        <strike val="0"/>
        <outline val="0"/>
        <shadow val="0"/>
        <u val="none"/>
        <vertAlign val="baseline"/>
        <sz val="12"/>
        <color theme="1"/>
        <name val="Calibri"/>
        <family val="2"/>
        <scheme val="minor"/>
      </font>
      <alignment horizontal="center" vertical="center" textRotation="0" wrapText="0" indent="0" justifyLastLine="0" shrinkToFit="0" readingOrder="0"/>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strike val="0"/>
        <outline val="0"/>
        <shadow val="0"/>
        <u val="none"/>
        <vertAlign val="baseline"/>
        <sz val="12"/>
        <color theme="1"/>
        <name val="Calibri"/>
        <family val="2"/>
        <scheme val="minor"/>
      </font>
      <numFmt numFmtId="0" formatCode="General"/>
      <alignment horizontal="left" vertical="center" textRotation="0" wrapText="0" indent="0" justifyLastLine="0" shrinkToFit="0" readingOrder="0"/>
    </dxf>
    <dxf>
      <font>
        <strike val="0"/>
        <outline val="0"/>
        <shadow val="0"/>
        <u val="none"/>
        <vertAlign val="baseline"/>
        <sz val="12"/>
        <color theme="1"/>
        <name val="Calibri"/>
        <family val="2"/>
        <scheme val="minor"/>
      </font>
      <alignment horizontal="center" vertical="center" textRotation="0" wrapText="0" indent="0" justifyLastLine="0" shrinkToFit="0" readingOrder="0"/>
    </dxf>
    <dxf>
      <font>
        <strike val="0"/>
        <outline val="0"/>
        <shadow val="0"/>
        <u val="none"/>
        <vertAlign val="baseline"/>
        <sz val="12"/>
        <color theme="1"/>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4"/>
        <color theme="1"/>
        <name val="Calibri"/>
        <scheme val="minor"/>
      </font>
      <fill>
        <patternFill>
          <fgColor indexed="64"/>
          <bgColor theme="0"/>
        </patternFill>
      </fill>
      <alignment horizontal="center" vertical="center" textRotation="90" wrapText="0" indent="0" justifyLastLine="0" shrinkToFit="0" readingOrder="0"/>
      <border diagonalUp="0" diagonalDown="0">
        <left style="thin">
          <color theme="4" tint="0.39994506668294322"/>
        </left>
        <right style="thin">
          <color theme="4" tint="0.39994506668294322"/>
        </right>
        <top/>
        <bottom/>
        <vertical style="thin">
          <color theme="4" tint="0.39994506668294322"/>
        </vertical>
        <horizontal style="thin">
          <color theme="4" tint="0.39994506668294322"/>
        </horizontal>
      </border>
      <protection locked="1" hidden="0"/>
    </dxf>
    <dxf>
      <font>
        <b val="0"/>
        <i val="0"/>
        <strike val="0"/>
        <condense val="0"/>
        <extend val="0"/>
        <outline val="0"/>
        <shadow val="0"/>
        <u val="none"/>
        <vertAlign val="baseline"/>
        <sz val="12"/>
        <color auto="1"/>
        <name val="Calibri"/>
        <scheme val="minor"/>
      </font>
      <numFmt numFmtId="0" formatCode="General"/>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2"/>
        <color auto="1"/>
        <name val="Calibri"/>
        <scheme val="minor"/>
      </font>
      <numFmt numFmtId="0" formatCode="General"/>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2"/>
        <color auto="1"/>
        <name val="Calibri"/>
        <scheme val="minor"/>
      </font>
      <numFmt numFmtId="2" formatCode="0.00"/>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2"/>
        <color auto="1"/>
        <name val="Calibri"/>
        <scheme val="minor"/>
      </font>
      <numFmt numFmtId="1" formatCode="0"/>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2"/>
        <color auto="1"/>
        <name val="Calibri"/>
        <scheme val="minor"/>
      </font>
      <numFmt numFmtId="1" formatCode="0"/>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2"/>
        <color auto="1"/>
        <name val="Calibri"/>
        <scheme val="minor"/>
      </font>
      <numFmt numFmtId="1" formatCode="0"/>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2"/>
        <color auto="1"/>
        <name val="Calibri"/>
        <scheme val="minor"/>
      </font>
      <numFmt numFmtId="164" formatCode=";;;"/>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2"/>
        <color auto="1"/>
        <name val="Calibri"/>
        <scheme val="minor"/>
      </font>
      <numFmt numFmtId="164" formatCode=";;;"/>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2"/>
        <color auto="1"/>
        <name val="Calibri"/>
        <scheme val="minor"/>
      </font>
      <numFmt numFmtId="164" formatCode=";;;"/>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2"/>
        <color auto="1"/>
        <name val="Calibri"/>
        <scheme val="minor"/>
      </font>
      <numFmt numFmtId="164" formatCode=";;;"/>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2"/>
        <color auto="1"/>
        <name val="Calibri"/>
        <scheme val="minor"/>
      </font>
      <numFmt numFmtId="1" formatCode="0"/>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2"/>
        <color auto="1"/>
        <name val="Calibri"/>
        <scheme val="minor"/>
      </font>
      <numFmt numFmtId="1" formatCode="0"/>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2"/>
        <color auto="1"/>
        <name val="Calibri"/>
        <scheme val="minor"/>
      </font>
      <numFmt numFmtId="1" formatCode="0"/>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2"/>
        <color auto="1"/>
        <name val="Calibri"/>
        <scheme val="minor"/>
      </font>
      <numFmt numFmtId="1" formatCode="0"/>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2"/>
        <color auto="1"/>
        <name val="Calibri"/>
        <scheme val="minor"/>
      </font>
      <numFmt numFmtId="1" formatCode="0"/>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2"/>
        <color auto="1"/>
        <name val="Calibri"/>
        <scheme val="minor"/>
      </font>
      <numFmt numFmtId="1" formatCode="0"/>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2"/>
        <color auto="1"/>
        <name val="Calibri"/>
        <scheme val="minor"/>
      </font>
      <numFmt numFmtId="1" formatCode="0"/>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2"/>
        <color auto="1"/>
        <name val="Calibri"/>
        <scheme val="minor"/>
      </font>
      <numFmt numFmtId="1" formatCode="0"/>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2"/>
        <color auto="1"/>
        <name val="Calibri"/>
        <scheme val="minor"/>
      </font>
      <numFmt numFmtId="1" formatCode="0"/>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2"/>
        <color auto="1"/>
        <name val="Calibri"/>
        <scheme val="minor"/>
      </font>
      <numFmt numFmtId="1" formatCode="0"/>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2"/>
        <color auto="1"/>
        <name val="Calibri"/>
        <scheme val="minor"/>
      </font>
      <numFmt numFmtId="1" formatCode="0"/>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2"/>
        <color auto="1"/>
        <name val="Calibri"/>
        <scheme val="minor"/>
      </font>
      <numFmt numFmtId="1" formatCode="0"/>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2"/>
        <color auto="1"/>
        <name val="Calibri"/>
        <scheme val="minor"/>
      </font>
      <numFmt numFmtId="0" formatCode="General"/>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auto="1"/>
        <name val="Calibri"/>
        <scheme val="minor"/>
      </font>
      <numFmt numFmtId="1" formatCode="0"/>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center" vertical="center" textRotation="0" wrapText="0" indent="0" justifyLastLine="0" shrinkToFit="0" readingOrder="0"/>
      <protection locked="0" hidden="0"/>
    </dxf>
    <dxf>
      <border>
        <bottom style="thin">
          <color auto="1"/>
        </bottom>
      </border>
    </dxf>
    <dxf>
      <font>
        <b/>
        <i val="0"/>
        <strike val="0"/>
        <condense val="0"/>
        <extend val="0"/>
        <outline val="0"/>
        <shadow val="0"/>
        <u val="none"/>
        <vertAlign val="baseline"/>
        <sz val="14"/>
        <color auto="1"/>
        <name val="Calibri"/>
        <scheme val="minor"/>
      </font>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protection locked="1" hidden="0"/>
    </dxf>
    <dxf>
      <font>
        <strike val="0"/>
        <outline val="0"/>
        <shadow val="0"/>
        <u val="none"/>
        <vertAlign val="baseline"/>
        <sz val="12"/>
        <color theme="1"/>
        <name val="Calibri"/>
        <scheme val="minor"/>
      </font>
      <protection locked="0" hidden="0"/>
    </dxf>
    <dxf>
      <font>
        <strike val="0"/>
        <outline val="0"/>
        <shadow val="0"/>
        <u val="none"/>
        <vertAlign val="baseline"/>
        <sz val="12"/>
        <color theme="1"/>
        <name val="Calibri"/>
        <scheme val="minor"/>
      </font>
      <protection locked="0" hidden="0"/>
    </dxf>
    <dxf>
      <font>
        <strike val="0"/>
        <outline val="0"/>
        <shadow val="0"/>
        <u val="none"/>
        <vertAlign val="baseline"/>
        <sz val="12"/>
        <color theme="1"/>
        <name val="Calibri"/>
        <scheme val="minor"/>
      </font>
      <numFmt numFmtId="0" formatCode="General"/>
      <alignment horizontal="left" vertical="center" textRotation="0" wrapText="1" indent="0" justifyLastLine="0" shrinkToFit="0" readingOrder="0"/>
      <protection locked="0" hidden="0"/>
    </dxf>
    <dxf>
      <font>
        <strike val="0"/>
        <outline val="0"/>
        <shadow val="0"/>
        <u val="none"/>
        <vertAlign val="baseline"/>
        <sz val="12"/>
        <color theme="1"/>
        <name val="Calibri"/>
        <scheme val="minor"/>
      </font>
      <numFmt numFmtId="0" formatCode="General"/>
      <alignment horizontal="center" vertical="center" textRotation="0" wrapText="0" indent="0" justifyLastLine="0" shrinkToFit="0" readingOrder="0"/>
      <protection locked="0" hidden="0"/>
    </dxf>
    <dxf>
      <numFmt numFmtId="0" formatCode="General"/>
    </dxf>
    <dxf>
      <font>
        <strike val="0"/>
        <outline val="0"/>
        <shadow val="0"/>
        <u val="none"/>
        <vertAlign val="baseline"/>
        <sz val="12"/>
        <color theme="1"/>
        <name val="Calibri"/>
        <scheme val="minor"/>
      </font>
    </dxf>
    <dxf>
      <font>
        <strike val="0"/>
        <outline val="0"/>
        <shadow val="0"/>
        <u val="none"/>
        <vertAlign val="baseline"/>
        <sz val="16"/>
        <color theme="1"/>
        <name val="Calibri"/>
        <scheme val="minor"/>
      </font>
      <alignment horizontal="center" vertical="center" textRotation="0" wrapText="0" indent="0" justifyLastLine="0" shrinkToFit="0" readingOrder="0"/>
    </dxf>
  </dxfs>
  <tableStyles count="0" defaultTableStyle="TableStyleMedium2" defaultPivotStyle="PivotStyleLight16"/>
  <colors>
    <mruColors>
      <color rgb="FFFF0000"/>
      <color rgb="FF00B050"/>
      <color rgb="FF92D050"/>
      <color rgb="FF016D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16</xdr:col>
      <xdr:colOff>522518</xdr:colOff>
      <xdr:row>2</xdr:row>
      <xdr:rowOff>536242</xdr:rowOff>
    </xdr:to>
    <xdr:grpSp>
      <xdr:nvGrpSpPr>
        <xdr:cNvPr id="16" name="Group 15">
          <a:extLst>
            <a:ext uri="{FF2B5EF4-FFF2-40B4-BE49-F238E27FC236}">
              <a16:creationId xmlns:a16="http://schemas.microsoft.com/office/drawing/2014/main" id="{139B61DB-8701-4519-8928-0CB03BD83D27}"/>
            </a:ext>
          </a:extLst>
        </xdr:cNvPr>
        <xdr:cNvGrpSpPr/>
      </xdr:nvGrpSpPr>
      <xdr:grpSpPr>
        <a:xfrm>
          <a:off x="655320" y="0"/>
          <a:ext cx="10354223" cy="1697339"/>
          <a:chOff x="904875" y="95250"/>
          <a:chExt cx="9809393" cy="1679242"/>
        </a:xfrm>
      </xdr:grpSpPr>
      <xdr:pic>
        <xdr:nvPicPr>
          <xdr:cNvPr id="17" name="Picture 16">
            <a:extLst>
              <a:ext uri="{FF2B5EF4-FFF2-40B4-BE49-F238E27FC236}">
                <a16:creationId xmlns:a16="http://schemas.microsoft.com/office/drawing/2014/main" id="{11CB73EF-0F22-BBCE-CEF8-EB8365CFBCE2}"/>
              </a:ext>
            </a:extLst>
          </xdr:cNvPr>
          <xdr:cNvPicPr>
            <a:picLocks noChangeAspect="1"/>
          </xdr:cNvPicPr>
        </xdr:nvPicPr>
        <xdr:blipFill>
          <a:blip xmlns:r="http://schemas.openxmlformats.org/officeDocument/2006/relationships" r:embed="rId1"/>
          <a:stretch>
            <a:fillRect/>
          </a:stretch>
        </xdr:blipFill>
        <xdr:spPr>
          <a:xfrm>
            <a:off x="3876039" y="326224"/>
            <a:ext cx="6838229" cy="1217295"/>
          </a:xfrm>
          <a:prstGeom prst="rect">
            <a:avLst/>
          </a:prstGeom>
        </xdr:spPr>
      </xdr:pic>
      <xdr:pic>
        <xdr:nvPicPr>
          <xdr:cNvPr id="18" name="Picture 17">
            <a:extLst>
              <a:ext uri="{FF2B5EF4-FFF2-40B4-BE49-F238E27FC236}">
                <a16:creationId xmlns:a16="http://schemas.microsoft.com/office/drawing/2014/main" id="{5AF6925C-11BE-E693-BE8E-8EB65314732E}"/>
              </a:ext>
            </a:extLst>
          </xdr:cNvPr>
          <xdr:cNvPicPr>
            <a:picLocks noChangeAspect="1"/>
          </xdr:cNvPicPr>
        </xdr:nvPicPr>
        <xdr:blipFill>
          <a:blip xmlns:r="http://schemas.openxmlformats.org/officeDocument/2006/relationships" r:embed="rId2"/>
          <a:stretch>
            <a:fillRect/>
          </a:stretch>
        </xdr:blipFill>
        <xdr:spPr>
          <a:xfrm>
            <a:off x="904875" y="95250"/>
            <a:ext cx="2788919" cy="1679242"/>
          </a:xfrm>
          <a:prstGeom prst="rect">
            <a:avLst/>
          </a:prstGeom>
        </xdr:spPr>
      </xdr:pic>
    </xdr:grpSp>
    <xdr:clientData/>
  </xdr:twoCellAnchor>
</xdr:wsDr>
</file>

<file path=xl/persons/person.xml><?xml version="1.0" encoding="utf-8"?>
<personList xmlns="http://schemas.microsoft.com/office/spreadsheetml/2018/threadedcomments" xmlns:x="http://schemas.openxmlformats.org/spreadsheetml/2006/main">
  <person displayName="Anna Sterner" id="{2A1C99EB-18AF-4488-8418-3AFA71E38E08}" userId="S::asterner@firstinspires.org::e34ade42-3f4d-4ffb-96dc-1c6e40b6902f"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A57DA5D-0728-43CC-89CB-464783C02596}" name="OfficialTeamList" displayName="OfficialTeamList" ref="B2:F202" totalsRowShown="0" headerRowDxfId="159" dataDxfId="158">
  <autoFilter ref="B2:F202" xr:uid="{9A57DA5D-0728-43CC-89CB-464783C02596}"/>
  <tableColumns count="5">
    <tableColumn id="5" xr3:uid="{B99CF027-B3A1-46DF-98B7-68C43C3D8B0F}" name="Row" dataDxfId="157" dataCellStyle="Explanatory Text"/>
    <tableColumn id="1" xr3:uid="{0CD9B14F-AAE3-41D7-9632-8300D4D6723A}" name="Team Number" dataDxfId="156"/>
    <tableColumn id="2" xr3:uid="{08C59E50-C306-4788-9E42-268EFB93DE09}" name="Team Name" dataDxfId="155"/>
    <tableColumn id="3" xr3:uid="{0BD55395-E8EA-4704-AEAC-08B817737204}" name="Coach" dataDxfId="154"/>
    <tableColumn id="4" xr3:uid="{B12C466D-ED6C-4E44-9F99-D15DA1EEB864}" name="Pod Number" dataDxfId="153"/>
  </tableColumns>
  <tableStyleInfo name="TableStyleMedium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7174690-16D1-4D08-AFFD-E444111361C9}" name="RobotDesignDelib" displayName="RobotDesignDelib" ref="G21:J36" totalsRowShown="0" headerRowDxfId="38" dataDxfId="37">
  <autoFilter ref="G21:J36" xr:uid="{D7174690-16D1-4D08-AFFD-E444111361C9}"/>
  <tableColumns count="4">
    <tableColumn id="1" xr3:uid="{6FEA1F21-3AE7-4E0D-A382-66B277E874B4}" name="Team Number" dataDxfId="36"/>
    <tableColumn id="2" xr3:uid="{883C848B-F736-49E1-9AB4-01634F6F6D4E}" name="Team Name" dataDxfId="35">
      <calculatedColumnFormula>IF(ISBLANK(RobotDesignDelib[[#This Row],[Team Number]]),"",_xlfn.XLOOKUP(RobotDesignDelib[[#This Row],[Team Number]],OfficialTeamList[Team Number],OfficialTeamList[Team Name],"",0,))</calculatedColumnFormula>
    </tableColumn>
    <tableColumn id="3" xr3:uid="{2C5F04B3-09F5-4165-BABF-B43A868E640F}" name="Robot Design Rank" dataDxfId="34">
      <calculatedColumnFormula>_xlfn.XLOOKUP(RobotDesignDelib[[#This Row],[Team Number]],TournamentData[Team Number],TournamentData[Robot Design Rank],NumberOfTeams+1,0,)</calculatedColumnFormula>
    </tableColumn>
    <tableColumn id="4" xr3:uid="{3D6633E8-8650-4878-A7DC-090F7AC91663}" name="Deliberated Rank" dataDxfId="33"/>
  </tableColumns>
  <tableStyleInfo name="TableStyleMedium4"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5956CF5-E1D8-4CD0-B388-944360C1424C}" name="InnovationProjectDelib" displayName="InnovationProjectDelib" ref="L21:O36" totalsRowShown="0" headerRowDxfId="32" dataDxfId="31">
  <autoFilter ref="L21:O36" xr:uid="{D5956CF5-E1D8-4CD0-B388-944360C1424C}"/>
  <tableColumns count="4">
    <tableColumn id="1" xr3:uid="{A937F5C0-1CE9-4827-9A10-C7437C241F82}" name="Team Number" dataDxfId="30"/>
    <tableColumn id="2" xr3:uid="{D007CF35-D120-46EA-ABEF-A741052715FA}" name="Team Name" dataDxfId="29">
      <calculatedColumnFormula>IF(ISBLANK(InnovationProjectDelib[[#This Row],[Team Number]]),"",_xlfn.XLOOKUP(InnovationProjectDelib[[#This Row],[Team Number]],OfficialTeamList[Team Number],OfficialTeamList[Team Name],"",0,))</calculatedColumnFormula>
    </tableColumn>
    <tableColumn id="3" xr3:uid="{9C3EEA0E-E80B-4DC2-A983-63B97D852C4F}" name="Innovation Project Rank" dataDxfId="28">
      <calculatedColumnFormula>_xlfn.XLOOKUP(InnovationProjectDelib[[#This Row],[Team Number]],TournamentData[Team Number],TournamentData[Innovation Project Rank],NumberOfTeams+1,0,)</calculatedColumnFormula>
    </tableColumn>
    <tableColumn id="4" xr3:uid="{807EB474-1310-44BB-895A-396A01529B8F}" name="Deliberated Rank" dataDxfId="27"/>
  </tableColumns>
  <tableStyleInfo name="TableStyleMedium4"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BD67C3C-4DBC-4431-8BC6-B72054B01B73}" name="BreakthroughDelib" displayName="BreakthroughDelib" ref="B39:E54" totalsRowShown="0" headerRowDxfId="26" dataDxfId="25">
  <autoFilter ref="B39:E54" xr:uid="{ABD67C3C-4DBC-4431-8BC6-B72054B01B73}"/>
  <tableColumns count="4">
    <tableColumn id="1" xr3:uid="{4B179EFA-1747-463A-9383-9D01D836F21C}" name="Team Number" dataDxfId="24"/>
    <tableColumn id="2" xr3:uid="{DB65FAA4-5961-448F-A686-9E08C6755FA2}" name="Team Name" dataDxfId="23">
      <calculatedColumnFormula>IF(ISBLANK(BreakthroughDelib[[#This Row],[Team Number]]),"",_xlfn.XLOOKUP(BreakthroughDelib[[#This Row],[Team Number]],OfficialTeamList[Team Number],OfficialTeamList[Team Name],"",0,))</calculatedColumnFormula>
    </tableColumn>
    <tableColumn id="3" xr3:uid="{7E9ACE90-FADE-4F79-9FAF-88477C6E84DB}" name="Champion's Rank" dataDxfId="22">
      <calculatedColumnFormula>_xlfn.XLOOKUP(BreakthroughDelib[[#This Row],[Team Number]],TournamentData[Team Number],TournamentData[Champion''s Rank],NumberOfTeams+1,0,)</calculatedColumnFormula>
    </tableColumn>
    <tableColumn id="4" xr3:uid="{4957AEED-8FB3-46D2-BF23-2474893988B8}" name="Deliberated Rank" dataDxfId="21"/>
  </tableColumns>
  <tableStyleInfo name="TableStyleMedium4"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B715487-BC16-4EF9-8B32-CCB8B09FBC07}" name="RookiAllStarDelib" displayName="RookiAllStarDelib" ref="G39:J54" totalsRowShown="0" headerRowDxfId="20" dataDxfId="19">
  <autoFilter ref="G39:J54" xr:uid="{6B715487-BC16-4EF9-8B32-CCB8B09FBC07}"/>
  <tableColumns count="4">
    <tableColumn id="1" xr3:uid="{7722AD9A-2439-42E4-B799-5A5C51C6C714}" name="Team Number" dataDxfId="18"/>
    <tableColumn id="2" xr3:uid="{C598112A-4F5A-417A-B11D-49B7B8A0119A}" name="Team Name" dataDxfId="17">
      <calculatedColumnFormula>IF(ISBLANK(RookiAllStarDelib[[#This Row],[Team Number]]),"",_xlfn.XLOOKUP(RookiAllStarDelib[[#This Row],[Team Number]],OfficialTeamList[Team Number],OfficialTeamList[Team Name],"",0,))</calculatedColumnFormula>
    </tableColumn>
    <tableColumn id="3" xr3:uid="{913D7B1B-6B40-49BA-8454-BDED06B57805}" name="Champion's Rank" dataDxfId="16">
      <calculatedColumnFormula>_xlfn.XLOOKUP(RookiAllStarDelib[[#This Row],[Team Number]],TournamentData[Team Number],TournamentData[Champion''s Rank],NumberOfTeams+1,0,)</calculatedColumnFormula>
    </tableColumn>
    <tableColumn id="4" xr3:uid="{4C76177B-8AE4-4722-8AA2-F60D86EEA943}" name="Deliberated Rank" dataDxfId="15"/>
  </tableColumns>
  <tableStyleInfo name="TableStyleMedium4"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F854070-7407-4B6B-A193-9E38B8D5AD57}" name="MotivateDelib" displayName="MotivateDelib" ref="L39:O54" totalsRowShown="0" headerRowDxfId="14" dataDxfId="13">
  <autoFilter ref="L39:O54" xr:uid="{4F854070-7407-4B6B-A193-9E38B8D5AD57}"/>
  <tableColumns count="4">
    <tableColumn id="1" xr3:uid="{C220EFB7-CC01-493A-9317-12B89FC70A50}" name="Team Number" dataDxfId="12"/>
    <tableColumn id="2" xr3:uid="{1A49D091-BB08-4764-B6B8-42C6A17C6F15}" name="Team Name" dataDxfId="11">
      <calculatedColumnFormula>IF(ISBLANK(MotivateDelib[[#This Row],[Team Number]]),"",_xlfn.XLOOKUP(MotivateDelib[[#This Row],[Team Number]],OfficialTeamList[Team Number],OfficialTeamList[Team Name],"",0,))</calculatedColumnFormula>
    </tableColumn>
    <tableColumn id="3" xr3:uid="{60FC2E95-4D1D-4E79-8107-38AF4FE7967B}" name="Champion's Rank" dataDxfId="10">
      <calculatedColumnFormula>_xlfn.XLOOKUP(MotivateDelib[[#This Row],[Team Number]],TournamentData[Team Number],TournamentData[Champion''s Rank],NumberOfTeams+1,0,)</calculatedColumnFormula>
    </tableColumn>
    <tableColumn id="4" xr3:uid="{58AF6045-4124-493F-A4BA-BF37E41151CC}" name="Deliberated Rank" dataDxfId="9"/>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A1DCB3D-0814-46FE-898C-0BE099A357F6}" name="TournamentData" displayName="TournamentData" ref="A2:Z202" totalsRowShown="0" headerRowDxfId="152" dataDxfId="150" headerRowBorderDxfId="151">
  <autoFilter ref="A2:Z202" xr:uid="{2A1DCB3D-0814-46FE-898C-0BE099A357F6}"/>
  <tableColumns count="26">
    <tableColumn id="1" xr3:uid="{3404AD6D-4282-423A-9754-3D7D9B3C3735}" name="Team Number" dataDxfId="149"/>
    <tableColumn id="2" xr3:uid="{D31BEA3F-A242-4303-B1A1-0E2E9D206B50}" name="Team Name" dataDxfId="148">
      <calculatedColumnFormula>_xlfn.XLOOKUP(TournamentData[[#This Row],[Team Number]],OfficialTeamList[Team Number],OfficialTeamList[Team Name],"",0,)</calculatedColumnFormula>
    </tableColumn>
    <tableColumn id="6" xr3:uid="{E1F804F2-12A3-4C51-AC8D-F057C978F611}" name="Robot Game Score 1" dataDxfId="147">
      <calculatedColumnFormula>IF(TournamentData[[#This Row],[Team Number]]="","",_xlfn.XLOOKUP(TournamentData[[#This Row],[Team Number]],RobotGameScores[Team Number],RobotGameScores[Robot Game 1 Score],0,0,))</calculatedColumnFormula>
    </tableColumn>
    <tableColumn id="7" xr3:uid="{8F629D3B-02C2-48AE-BDC1-C1C7F19F37C5}" name="Robot Game Score 2" dataDxfId="146">
      <calculatedColumnFormula>IF(TournamentData[[#This Row],[Team Number]]="","",_xlfn.XLOOKUP(TournamentData[[#This Row],[Team Number]],RobotGameScores[Team Number],RobotGameScores[Robot Game 2 Score],0,0,))</calculatedColumnFormula>
    </tableColumn>
    <tableColumn id="8" xr3:uid="{90E9F9C6-2B82-4F06-A428-EDFFBBAC7498}" name="Robot Game Score 3" dataDxfId="145">
      <calculatedColumnFormula>IF(TournamentData[[#This Row],[Team Number]]="","",_xlfn.XLOOKUP(TournamentData[[#This Row],[Team Number]],RobotGameScores[Team Number],RobotGameScores[Robot Game 3 Score],0,0,))</calculatedColumnFormula>
    </tableColumn>
    <tableColumn id="16" xr3:uid="{04785D41-B8C6-4C02-A830-8548358B8D44}" name="Robot Game Score 4" dataDxfId="144">
      <calculatedColumnFormula>IF(TournamentData[[#This Row],[Team Number]]="","",_xlfn.XLOOKUP(TournamentData[[#This Row],[Team Number]],RobotGameScores[Team Number],RobotGameScores[Robot Game 4 Score],0,0,))</calculatedColumnFormula>
    </tableColumn>
    <tableColumn id="9" xr3:uid="{1EB78C59-679D-452E-A963-65B0BFD24A54}" name="Robot Game Score 5" dataDxfId="143">
      <calculatedColumnFormula>IF(TournamentData[[#This Row],[Team Number]]="","",_xlfn.XLOOKUP(TournamentData[[#This Row],[Team Number]],RobotGameScores[Team Number],RobotGameScores[Robot Game 5 Score],0,0,))</calculatedColumnFormula>
    </tableColumn>
    <tableColumn id="10" xr3:uid="{B6B1D458-5FB7-43E7-8B39-AA2F65B18A79}" name="Max Robot Game Score" dataDxfId="142">
      <calculatedColumnFormula>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calculatedColumnFormula>
    </tableColumn>
    <tableColumn id="15" xr3:uid="{F9A2CE28-D46E-49C6-A099-9C01230ABCE9}" name="Robot Game Rank" dataDxfId="141">
      <calculatedColumnFormula>IF(TournamentData[[#This Row],[Team Number]]="","",_xlfn.RANK.EQ(TournamentData[[#This Row],[Max Robot Game Score]],TournamentData[Max Robot Game Score]))</calculatedColumnFormula>
    </tableColumn>
    <tableColumn id="3" xr3:uid="{914F3BD4-3D95-4E9D-8B15-63DBEEA6311D}" name="Core Values Rank" dataDxfId="140">
      <calculatedColumnFormula>IF(TournamentData[[#This Row],[Team Number]]="","",_xlfn.XLOOKUP(TournamentData[[#This Row],[Team Number]],CoreValuesResults[Team Number],CoreValuesResults[Core Values Rank],NumberOfTeams+1,0,))</calculatedColumnFormula>
    </tableColumn>
    <tableColumn id="4" xr3:uid="{C37FA1D6-8896-4A7A-98D9-13601B3FDF35}" name="Innovation Project Rank" dataDxfId="139">
      <calculatedColumnFormula>IF(TournamentData[[#This Row],[Team Number]]="","",_xlfn.XLOOKUP(TournamentData[[#This Row],[Team Number]],InnovationProjectResults[Team Number],InnovationProjectResults[Innovation Project Rank],NumberOfTeams+1,0,))</calculatedColumnFormula>
    </tableColumn>
    <tableColumn id="5" xr3:uid="{1D2B4A39-1B9E-423C-B462-8497B1DC7AA7}" name="Robot Design Rank" dataDxfId="138">
      <calculatedColumnFormula>IF(TournamentData[[#This Row],[Team Number]]="","",_xlfn.XLOOKUP(TournamentData[[#This Row],[Team Number]],RobotDesignResults[Team Number],RobotDesignResults[Robot Design Rank],NumberOfTeams+1,0,))</calculatedColumnFormula>
    </tableColumn>
    <tableColumn id="14" xr3:uid="{1F96C5E0-1B6E-477E-9FC5-406FD705E100}" name="Champion's Score" dataDxfId="137">
      <calculatedColumnFormula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calculatedColumnFormula>
    </tableColumn>
    <tableColumn id="11" xr3:uid="{6BB50963-77AB-4E55-955C-C7FE6918B6DC}" name="Champion's Rank" dataDxfId="136">
      <calculatedColumnFormula>IF(TournamentData[[#This Row],[Team Number]]="","",IF(M3,RANK(M3,M$3:M$202,1)-COUNTIF(M$3:M$202,0),NumberOfTeams+1))</calculatedColumnFormula>
    </tableColumn>
    <tableColumn id="19" xr3:uid="{989D3B14-B261-4FED-8673-F6DA10F088D5}" name="Breakthrough" dataDxfId="135">
      <calculatedColumnFormula>_xlfn.XLOOKUP(TournamentData[[#This Row],[Team Number]],CoreValuesResults[Team Number],CoreValuesResults[Breakthrough Selection],0,0,)</calculatedColumnFormula>
    </tableColumn>
    <tableColumn id="18" xr3:uid="{49C473A1-FAAD-4E72-9A3C-A8E0980F6AF3}" name="Rising All-Star" dataDxfId="134">
      <calculatedColumnFormula>_xlfn.XLOOKUP(TournamentData[[#This Row],[Team Number]],CoreValuesResults[Team Number],CoreValuesResults[Rising All-Star Selection],0,0,)</calculatedColumnFormula>
    </tableColumn>
    <tableColumn id="17" xr3:uid="{E97AF9D9-27A4-4AE1-9A71-B27751589B69}" name="Motivate" dataDxfId="133">
      <calculatedColumnFormula>_xlfn.XLOOKUP(TournamentData[[#This Row],[Team Number]],CoreValuesResults[Team Number],CoreValuesResults[Motivate Selection],0,0,)</calculatedColumnFormula>
    </tableColumn>
    <tableColumn id="12" xr3:uid="{9853B4B2-647F-43A3-A83C-8D657227CD3E}" name="Award" dataDxfId="132"/>
    <tableColumn id="13" xr3:uid="{937B0366-1118-4ABB-8166-A30861CCF0C8}" name="Award Place" dataDxfId="131"/>
    <tableColumn id="21" xr3:uid="{208243C4-9633-45B9-8468-757430861356}" name="Advance?" dataDxfId="130"/>
    <tableColumn id="28" xr3:uid="{9323C8AB-890B-4481-9674-F8D079BA4A7A}" name="Core Values Score" dataDxfId="129">
      <calculatedColumnFormula>_xlfn.XLOOKUP(TournamentData[[#This Row],[Team Number]],CoreValuesResults[Team Number],CoreValuesResults[Core Values Score],0,0,)</calculatedColumnFormula>
    </tableColumn>
    <tableColumn id="27" xr3:uid="{E76E8BD7-6A1C-45CF-93F5-B174DDEFD435}" name="Innovattion Project Score" dataDxfId="128">
      <calculatedColumnFormula>_xlfn.XLOOKUP(TournamentData[[#This Row],[Team Number]],InnovationProjectResults[Team Number],InnovationProjectResults[Innovation Project Score],0,0,)</calculatedColumnFormula>
    </tableColumn>
    <tableColumn id="26" xr3:uid="{10E83603-47AF-4CB0-86FA-F8F431BB8B08}" name="Robot Design Score" dataDxfId="127">
      <calculatedColumnFormula>_xlfn.XLOOKUP(TournamentData[[#This Row],[Team Number]],RobotDesignResults[Team Number],RobotDesignResults[Robot Design Score],0,0,)</calculatedColumnFormula>
    </tableColumn>
    <tableColumn id="25" xr3:uid="{0776B7D5-E7EB-4715-9E47-2988368D1FF0}" name="Overall Score - Geometric Mean" dataDxfId="126">
      <calculatedColumnFormula>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calculatedColumnFormula>
    </tableColumn>
    <tableColumn id="24" xr3:uid="{401C6AA8-DFB7-4A10-9258-EB3582D63C56}" name="Overall Ranking - Geometric Mean" dataDxfId="125">
      <calculatedColumnFormula>IF(X3,_xlfn.RANK.EQ(X3,X$3:X$110,0),NumberOfTeams)</calculatedColumnFormula>
    </tableColumn>
    <tableColumn id="20" xr3:uid="{7A887FB6-6B8E-45C5-9A2D-839A8EC48E25}" name="Comments" dataDxfId="12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021B0B9-C6EE-42B8-AF12-212367A10982}" name="InnovationProjectResults" displayName="InnovationProjectResults" ref="A1:N201" totalsRowShown="0" headerRowDxfId="123" dataDxfId="122">
  <autoFilter ref="A1:N201" xr:uid="{9021B0B9-C6EE-42B8-AF12-212367A10982}"/>
  <tableColumns count="14">
    <tableColumn id="1" xr3:uid="{B6873015-0290-42FE-9C9D-CB501E371BE4}" name="Team Number" dataDxfId="121"/>
    <tableColumn id="2" xr3:uid="{9DF86304-7643-4472-B942-8AF4353D44FF}" name="Team Name" dataDxfId="120">
      <calculatedColumnFormula>_xlfn.XLOOKUP(InnovationProjectResults[[#This Row],[Team Number]],OfficialTeamList[Team Number],OfficialTeamList[Team Name],"",0,)</calculatedColumnFormula>
    </tableColumn>
    <tableColumn id="3" xr3:uid="{02F681C4-6C1B-46D9-ACF0-05151B72E9E5}" name="Identify - Define" dataDxfId="119"/>
    <tableColumn id="4" xr3:uid="{0A72ACF8-91FA-4876-AB91-E2F6F5A24C18}" name="Identify - Research (CV)" dataDxfId="118"/>
    <tableColumn id="5" xr3:uid="{5A15EF59-EBA6-4FD0-9B6D-6FE3813C5AB9}" name="Design - Plan" dataDxfId="117"/>
    <tableColumn id="7" xr3:uid="{FB4096B5-669D-443A-878C-85B9334B3D60}" name="Design - Teamwork (CV)" dataDxfId="116"/>
    <tableColumn id="10" xr3:uid="{2A182308-6E80-48D0-B8AD-351425C498CA}" name="Create - Innovation (CV)" dataDxfId="115"/>
    <tableColumn id="8" xr3:uid="{B7F275E4-6032-4C02-9DB2-3435B1B6D2D4}" name="Create - Model" dataDxfId="114"/>
    <tableColumn id="9" xr3:uid="{A974A1CA-311B-447C-9BC5-0352540CE411}" name="Iterate - Sharing" dataDxfId="113"/>
    <tableColumn id="11" xr3:uid="{17993154-EA9A-4C57-AE4A-E5228606BFE5}" name="Iterate - Improvement" dataDxfId="112"/>
    <tableColumn id="12" xr3:uid="{5EFE267A-E498-459A-A8AF-89B4CDE3CE1F}" name="Communicate - Impact (CV)" dataDxfId="111"/>
    <tableColumn id="13" xr3:uid="{359ABD9F-E8D5-4166-9735-6815F2A76DB5}" name="Communicate - Fun (CV)" dataDxfId="110"/>
    <tableColumn id="19" xr3:uid="{BE9ABB49-F6D7-4DE4-9D0A-53FB54F38028}" name="Innovation Project Score" dataDxfId="109">
      <calculatedColumnFormula>SUM(InnovationProjectResults[[#This Row],[Identify - Define]:[Communicate - Fun (CV)]])</calculatedColumnFormula>
    </tableColumn>
    <tableColumn id="20" xr3:uid="{01160DC1-72BC-4DD7-82C4-9FE2B72569C1}" name="Innovation Project Rank" dataDxfId="108">
      <calculatedColumnFormula>IF(InnovationProjectResults[[#This Row],[Team Number]]&gt;0,MIN(_xlfn.RANK.EQ(InnovationProjectResults[[#This Row],[Innovation Project Score]],InnovationProjectResults[Innovation Project Score],0),NumberOfTeams),NumberOfTeams+1)</calculatedColumnFormula>
    </tableColumn>
  </tableColumns>
  <tableStyleInfo name="TableStyleMedium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8C6BAE1-B275-4E67-9926-45FED001C063}" name="RobotDesignResults" displayName="RobotDesignResults" ref="A1:N201" totalsRowShown="0" headerRowDxfId="107" dataDxfId="106">
  <autoFilter ref="A1:N201" xr:uid="{B8C6BAE1-B275-4E67-9926-45FED001C063}"/>
  <tableColumns count="14">
    <tableColumn id="1" xr3:uid="{DF4A7F0B-0462-481F-862B-73D1CD4BE394}" name="Team Number" dataDxfId="105"/>
    <tableColumn id="2" xr3:uid="{71B20507-3F21-41AB-8754-020D68A621D2}" name="Team Name" dataDxfId="104">
      <calculatedColumnFormula>_xlfn.XLOOKUP(RobotDesignResults[[#This Row],[Team Number]],OfficialTeamList[Team Number],OfficialTeamList[Team Name],"",0,)</calculatedColumnFormula>
    </tableColumn>
    <tableColumn id="3" xr3:uid="{B38A3CFD-5F10-44DF-A076-4AE35AE586D5}" name="Identify - Strategy" dataDxfId="103"/>
    <tableColumn id="4" xr3:uid="{651A5056-1AC0-4F40-9A80-4600495E3EEB}" name="Identify - Research (CV)" dataDxfId="102"/>
    <tableColumn id="5" xr3:uid="{21B77B4B-A0F3-4349-9F14-E3108C053E0C}" name="Design - Ideas (CV)" dataDxfId="101"/>
    <tableColumn id="7" xr3:uid="{575BA16A-1191-47B0-802B-6CAE2CE26021}" name="Design - Building/Coding" dataDxfId="100"/>
    <tableColumn id="6" xr3:uid="{ED6D4D68-295A-4BF5-800B-69A35361E0FD}" name="Create - Attachments" dataDxfId="99"/>
    <tableColumn id="8" xr3:uid="{2A048659-ABD6-4856-8580-2F7AD80FF9DE}" name="Create - Code/ Sensors" dataDxfId="98"/>
    <tableColumn id="9" xr3:uid="{ADBB53E5-91F2-4072-9D8B-38ABDA097892}" name="Iterate - Testing" dataDxfId="97"/>
    <tableColumn id="11" xr3:uid="{43F18C83-464D-40B9-AB43-221E180D497C}" name="Iterate - Improvements (CV)" dataDxfId="96"/>
    <tableColumn id="12" xr3:uid="{0B22383D-8012-40D2-8D12-58BD4CE6CA7F}" name="Communicate - Impact (CV)" dataDxfId="95"/>
    <tableColumn id="13" xr3:uid="{3432F1C2-E843-4163-8A06-568E593C8EFE}" name="Communicate - Fun (CV)" dataDxfId="94"/>
    <tableColumn id="19" xr3:uid="{0724923B-1E84-4EE3-9051-75975C82F8CE}" name="Robot Design Score" dataDxfId="93">
      <calculatedColumnFormula>SUM(RobotDesignResults[[#This Row],[Identify - Strategy]:[Communicate - Fun (CV)]])</calculatedColumnFormula>
    </tableColumn>
    <tableColumn id="20" xr3:uid="{40CD15CC-8400-4FFA-B76C-16683310DDD9}" name="Robot Design Rank" dataDxfId="92">
      <calculatedColumnFormula>IF(RobotDesignResults[[#This Row],[Team Number]]&gt;0,MIN(_xlfn.RANK.EQ(RobotDesignResults[[#This Row],[Robot Design Score]],RobotDesignResults[Robot Design Score],0),NumberOfTeams),NumberOfTeams+1)</calculatedColumnFormula>
    </tableColumn>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1EA5ECA-5EE3-4725-A45F-7666FBF2CAAD}" name="RobotGameScores" displayName="RobotGameScores" ref="A1:I201" totalsRowShown="0" headerRowDxfId="91" headerRowBorderDxfId="90">
  <autoFilter ref="A1:I201" xr:uid="{81EA5ECA-5EE3-4725-A45F-7666FBF2CAAD}"/>
  <sortState xmlns:xlrd2="http://schemas.microsoft.com/office/spreadsheetml/2017/richdata2" ref="A2:I201">
    <sortCondition ref="B1:B201"/>
  </sortState>
  <tableColumns count="9">
    <tableColumn id="1" xr3:uid="{0E3C036F-3DD4-4D31-9422-7D09E0846FAE}" name="Robot Game Rank" dataDxfId="89">
      <calculatedColumnFormula>IF(RobotGameScores[[#This Row],[Team Number]]&gt;0,MIN(_xlfn.RANK.EQ(RobotGameScores[[#This Row],[Highest Robot Game Score]],RobotGameScores[Highest Robot Game Score],0),NumberOfTeams),NumberOfTeams+1)</calculatedColumnFormula>
    </tableColumn>
    <tableColumn id="2" xr3:uid="{D5719E1F-6FF7-4FD0-91EF-0A67DCC3A2D5}" name="Team Number" dataDxfId="88"/>
    <tableColumn id="10" xr3:uid="{9E8C2482-A4E3-4AB3-A57E-8CEDC2C7EBA7}" name="Team Name" dataDxfId="87">
      <calculatedColumnFormula>_xlfn.XLOOKUP(RobotDesignResults[[#This Row],[Team Number]],OfficialTeamList[Team Number],OfficialTeamList[Team Name],"",0,)</calculatedColumnFormula>
    </tableColumn>
    <tableColumn id="3" xr3:uid="{5DAD4516-3667-4C27-8AE3-922DF09D67BF}" name="Robot Game 1 Score"/>
    <tableColumn id="4" xr3:uid="{7AEFED10-9A3A-4299-979A-D410B0D21329}" name="Robot Game 2 Score"/>
    <tableColumn id="5" xr3:uid="{DBD7343D-CE13-43C8-9A2F-129EF9C6218D}" name="Robot Game 3 Score"/>
    <tableColumn id="6" xr3:uid="{B2AF7BD7-C406-451D-9A45-ACDD3579C446}" name="Robot Game 4 Score" dataDxfId="86"/>
    <tableColumn id="7" xr3:uid="{BA7C1E35-920E-46B7-964A-71535563953B}" name="Robot Game 5 Score" dataDxfId="85"/>
    <tableColumn id="8" xr3:uid="{0E0234FC-F2CC-48AC-93E7-7174AD825EAA}" name="Highest Robot Game Score" dataDxfId="84">
      <calculatedColumnFormula>IF(RobotGameScores[[#This Row],[Team Number]]&gt;0,MAX(RobotGameScores[[#This Row],[Robot Game 1 Score]:[Robot Game 5 Score]]),0)</calculatedColumnFormula>
    </tableColumn>
  </tableColumns>
  <tableStyleInfo name="TableStyleMedium1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C06ACB6-AE63-4F1F-A2C0-983EE58B3429}" name="CoreValuesResults" displayName="CoreValuesResults" ref="A1:Y201" totalsRowShown="0" headerRowDxfId="83" dataDxfId="82">
  <autoFilter ref="A1:Y201" xr:uid="{8C06ACB6-AE63-4F1F-A2C0-983EE58B3429}"/>
  <tableColumns count="25">
    <tableColumn id="1" xr3:uid="{AA15DE28-8510-4923-9F10-6447A3B46C75}" name="Team Number" dataDxfId="81"/>
    <tableColumn id="2" xr3:uid="{5F4947B6-791C-4193-93BF-585713BF433B}" name="Team Name" dataDxfId="80">
      <calculatedColumnFormula>_xlfn.XLOOKUP(CoreValuesResults[[#This Row],[Team Number]],OfficialTeamList[Team Number],OfficialTeamList[Team Name],"",0,)</calculatedColumnFormula>
    </tableColumn>
    <tableColumn id="3" xr3:uid="{BF01DECE-79D4-4864-AC3F-80731E229D89}" name="Discovery (IP)" dataDxfId="79">
      <calculatedColumnFormula>_xlfn.XLOOKUP(CoreValuesResults[[#This Row],[Team Number]],InnovationProjectResults[Team Number],InnovationProjectResults[Identify - Research (CV)])</calculatedColumnFormula>
    </tableColumn>
    <tableColumn id="4" xr3:uid="{992EE2AA-0D58-4D23-970D-14C42D467871}" name="Teamwork (IP)" dataDxfId="78">
      <calculatedColumnFormula>_xlfn.XLOOKUP(CoreValuesResults[[#This Row],[Team Number]],InnovationProjectResults[Team Number],InnovationProjectResults[Design - Teamwork (CV)])</calculatedColumnFormula>
    </tableColumn>
    <tableColumn id="5" xr3:uid="{83EE406D-BB98-4E34-A8A1-C60801778A84}" name="Innovation (IP)" dataDxfId="77">
      <calculatedColumnFormula>_xlfn.XLOOKUP(CoreValuesResults[[#This Row],[Team Number]],InnovationProjectResults[Team Number],InnovationProjectResults[Create - Innovation (CV)])</calculatedColumnFormula>
    </tableColumn>
    <tableColumn id="11" xr3:uid="{05A84BE8-F617-439A-86A2-6C972C4244F9}" name="Impact (IP)" dataDxfId="76">
      <calculatedColumnFormula>_xlfn.XLOOKUP(CoreValuesResults[[#This Row],[Team Number]],InnovationProjectResults[Team Number],InnovationProjectResults[Communicate - Impact (CV)])</calculatedColumnFormula>
    </tableColumn>
    <tableColumn id="12" xr3:uid="{35FC65E3-EB4A-466C-8491-AE188F982E29}" name="Fun (IP)" dataDxfId="75">
      <calculatedColumnFormula>_xlfn.XLOOKUP(CoreValuesResults[[#This Row],[Team Number]],InnovationProjectResults[Team Number],InnovationProjectResults[Communicate - Fun (CV)])</calculatedColumnFormula>
    </tableColumn>
    <tableColumn id="22" xr3:uid="{A6B1E544-EDEA-4047-8BD8-A8A66F0CA467}" name="Discovery (RD)" dataDxfId="74">
      <calculatedColumnFormula>_xlfn.XLOOKUP(CoreValuesResults[[#This Row],[Team Number]],RobotDesignResults[Team Number],RobotDesignResults[Identify - Research (CV)])</calculatedColumnFormula>
    </tableColumn>
    <tableColumn id="25" xr3:uid="{732AC15D-785F-4D59-965B-DB6C6D83E1E3}" name="Inclusion (RD)" dataDxfId="73">
      <calculatedColumnFormula>_xlfn.XLOOKUP(CoreValuesResults[[#This Row],[Team Number]],RobotDesignResults[Team Number],RobotDesignResults[Design - Ideas (CV)])</calculatedColumnFormula>
    </tableColumn>
    <tableColumn id="24" xr3:uid="{9C723B9B-6518-480B-80CB-89721A72780B}" name="Innovation (RD)" dataDxfId="72">
      <calculatedColumnFormula>_xlfn.XLOOKUP(CoreValuesResults[[#This Row],[Team Number]],RobotDesignResults[Team Number],RobotDesignResults[Iterate - Improvements (CV)])</calculatedColumnFormula>
    </tableColumn>
    <tableColumn id="23" xr3:uid="{3FD44D05-E28A-4844-B0E0-B0AA75BBE9FD}" name="Impact (RD)" dataDxfId="71">
      <calculatedColumnFormula>_xlfn.XLOOKUP(CoreValuesResults[[#This Row],[Team Number]],RobotDesignResults[Team Number],RobotDesignResults[Communicate - Impact (CV)])</calculatedColumnFormula>
    </tableColumn>
    <tableColumn id="13" xr3:uid="{0802CF5A-9E01-44FA-8410-008F9B6A3204}" name="Fun (RD)" dataDxfId="70">
      <calculatedColumnFormula>_xlfn.XLOOKUP(CoreValuesResults[[#This Row],[Team Number]],RobotDesignResults[Team Number],RobotDesignResults[Communicate - Fun (CV)])</calculatedColumnFormula>
    </tableColumn>
    <tableColumn id="7" xr3:uid="{999DE68C-8B89-4AD3-B06D-34619DAAB444}" name="Gracious Professionalism 1" dataDxfId="69"/>
    <tableColumn id="8" xr3:uid="{6B7B8D5D-BFB4-4F23-9AAE-F7C8F68BC85B}" name="Gracious Professionalism 2" dataDxfId="68"/>
    <tableColumn id="6" xr3:uid="{EF74DFA4-9A7E-40FF-8B18-2C80787EAB8A}" name="Gracious Professionalism 3" dataDxfId="67"/>
    <tableColumn id="9" xr3:uid="{DCFC5097-DF1E-45CC-8EA9-81D79549AF18}" name="Gracious Professionalism 4" dataDxfId="66"/>
    <tableColumn id="10" xr3:uid="{1C83D816-3D59-464C-9FFA-F5C7BBB709C6}" name="Gracious Professionalism 5" dataDxfId="65"/>
    <tableColumn id="21" xr3:uid="{C0DF172E-3288-48B4-BCB5-550705D6F352}" name="Gracious Professionalism Empty Count" dataDxfId="64">
      <calculatedColumnFormula>IF(CoreValuesResults[[#This Row],[Gracious Professionalism 1]]="","",COUNTIF(CoreValuesResults[[#This Row],[Gracious Professionalism 1]:[Gracious Professionalism 5]],""))</calculatedColumnFormula>
    </tableColumn>
    <tableColumn id="14" xr3:uid="{773868A4-B923-42D4-AF2C-9470E0536C3B}" name="Gracious Professionalism Total" dataDxfId="63">
      <calculatedColumnFormula>IF(CoreValuesResults[[#This Row],[Gracious Professionalism 1]]="","",SUM(CoreValuesResults[[#This Row],[Gracious Professionalism 1]:[Gracious Professionalism 5]]))</calculatedColumnFormula>
    </tableColumn>
    <tableColumn id="18" xr3:uid="{BF3CCEF4-F9B0-4591-A72C-3BE182C432CD}" name="Gracious Professionalism Score" dataDxfId="62">
      <calculatedColumnFormula>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calculatedColumnFormula>
    </tableColumn>
    <tableColumn id="19" xr3:uid="{738CEF97-09AE-42A9-809A-59E046E2B5A1}" name="Core Values Score" dataDxfId="61">
      <calculatedColumnFormula>SUM(CoreValuesResults[[#This Row],[Discovery (IP)]:[Fun (RD)]],CoreValuesResults[[#This Row],[Gracious Professionalism Score]])</calculatedColumnFormula>
    </tableColumn>
    <tableColumn id="20" xr3:uid="{9E97B6DB-3837-436B-9EEA-759716D9D221}" name="Core Values Rank" dataDxfId="60">
      <calculatedColumnFormula>IF(CoreValuesResults[[#This Row],[Team Number]]&gt;0,MIN(_xlfn.RANK.EQ(CoreValuesResults[[#This Row],[Core Values Score]],CoreValuesResults[Core Values Score],0),NumberOfTeams),NumberOfTeams+1)</calculatedColumnFormula>
    </tableColumn>
    <tableColumn id="15" xr3:uid="{DEB7683B-70B4-47A8-A579-022618390C33}" name="Breakthrough Selection" dataDxfId="59"/>
    <tableColumn id="16" xr3:uid="{6E5FC98A-46FB-4083-AFB7-4B4B872288D1}" name="Rising All-Star Selection" dataDxfId="58"/>
    <tableColumn id="17" xr3:uid="{25C29CB1-4810-4A0C-8EFF-E8126C1BBEC0}" name="Motivate Selection" dataDxfId="57"/>
  </tableColumns>
  <tableStyleInfo name="TableStyleMedium3"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25920E1-5295-4B0D-A5F8-3B335E4FA926}" name="ChampionsDelib" displayName="ChampionsDelib" ref="B3:E18" totalsRowShown="0" headerRowDxfId="56" dataDxfId="55">
  <autoFilter ref="B3:E18" xr:uid="{D25920E1-5295-4B0D-A5F8-3B335E4FA926}"/>
  <tableColumns count="4">
    <tableColumn id="1" xr3:uid="{E2B04647-0006-40CC-8397-13CCDC40B8CC}" name="Team Number" dataDxfId="54"/>
    <tableColumn id="2" xr3:uid="{163BFCD8-AD74-4B6F-8AFF-EEA3B245DB5C}" name="Team Name" dataDxfId="53">
      <calculatedColumnFormula>IF(ISBLANK(ChampionsDelib[[#This Row],[Team Number]]),"",IF(ISBLANK(ChampionsDelib[[#This Row],[Team Number]]),"",_xlfn.XLOOKUP(ChampionsDelib[[#This Row],[Team Number]],OfficialTeamList[Team Number],OfficialTeamList[Team Name],"",0,)))</calculatedColumnFormula>
    </tableColumn>
    <tableColumn id="3" xr3:uid="{C4FA62CF-B0B3-4B65-A267-405255A81DA3}" name="Champion's Rank" dataDxfId="52">
      <calculatedColumnFormula>_xlfn.XLOOKUP(ChampionsDelib[[#This Row],[Team Number]],TournamentData[Team Number],TournamentData[Champion''s Rank],NumberOfTeams+1,0,)</calculatedColumnFormula>
    </tableColumn>
    <tableColumn id="4" xr3:uid="{75B6DC73-6407-42F4-A882-3E6364E7EFC9}" name="Deliberated Rank" dataDxfId="51"/>
  </tableColumns>
  <tableStyleInfo name="TableStyleMedium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580C3BC-8959-4591-BBF0-C2EA522097A7}" name="RobotGameDelib" displayName="RobotGameDelib" ref="G3:J18" totalsRowShown="0" headerRowDxfId="50" dataDxfId="49">
  <autoFilter ref="G3:J18" xr:uid="{6580C3BC-8959-4591-BBF0-C2EA522097A7}"/>
  <tableColumns count="4">
    <tableColumn id="1" xr3:uid="{163CD90A-7EEF-4956-96CB-C7D659C0A0CD}" name="Team Number" dataDxfId="48"/>
    <tableColumn id="2" xr3:uid="{5A762DFE-1F91-46D3-9145-AA5053F0023A}" name="Team Name" dataDxfId="47">
      <calculatedColumnFormula>IF(ISBLANK(RobotGameDelib[[#This Row],[Team Number]]),"",_xlfn.XLOOKUP(RobotGameDelib[[#This Row],[Team Number]],OfficialTeamList[Team Number],OfficialTeamList[Team Name],"",0,))</calculatedColumnFormula>
    </tableColumn>
    <tableColumn id="3" xr3:uid="{6C334031-6157-40AE-B598-C4C4CA2FD631}" name="Champion's Rank" dataDxfId="46">
      <calculatedColumnFormula>_xlfn.XLOOKUP(RobotGameDelib[[#This Row],[Team Number]],TournamentData[Team Number],TournamentData[Champion''s Rank],NumberOfTeams+1,0,)</calculatedColumnFormula>
    </tableColumn>
    <tableColumn id="4" xr3:uid="{01E45A71-0875-4C76-953C-DBF711505D08}" name="Deliberated Rank" dataDxfId="45"/>
  </tableColumns>
  <tableStyleInfo name="TableStyleMedium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4A9C88F-3C64-4662-9562-EAE0043BB740}" name="CoreValuesDelib" displayName="CoreValuesDelib" ref="B21:E36" totalsRowShown="0" headerRowDxfId="44" dataDxfId="43">
  <autoFilter ref="B21:E36" xr:uid="{A4A9C88F-3C64-4662-9562-EAE0043BB740}"/>
  <tableColumns count="4">
    <tableColumn id="1" xr3:uid="{28F1E007-5622-4657-AC23-048340ACB7C2}" name="Team Number" dataDxfId="42"/>
    <tableColumn id="2" xr3:uid="{6E4FA8B3-7A8C-44D8-A216-D13418AE0651}" name="Team Name" dataDxfId="41">
      <calculatedColumnFormula>IF(ISBLANK(CoreValuesDelib[[#This Row],[Team Number]]),"",_xlfn.XLOOKUP(CoreValuesDelib[[#This Row],[Team Number]],OfficialTeamList[Team Number],OfficialTeamList[Team Name],"",0,))</calculatedColumnFormula>
    </tableColumn>
    <tableColumn id="3" xr3:uid="{B510781B-6BD8-4381-BA78-A892AC09707A}" name="Core Values Rank" dataDxfId="40">
      <calculatedColumnFormula>IF(ISNA(INDEX(CoreValuesResults[Core Values Rank],MATCH(CoreValuesDelib[[#This Row],[Team Number]],CoreValuesResults[Team Number],0))),NumberOfTeams+1,INDEX(CoreValuesResults[Core Values Rank],MATCH(CoreValuesDelib[[#This Row],[Team Number]],CoreValuesResults[Team Number],0)))</calculatedColumnFormula>
    </tableColumn>
    <tableColumn id="4" xr3:uid="{C4DDE05E-A696-4D5C-9D8A-D0DEC9421297}" name="Deliberated Rank" dataDxfId="39"/>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5" dT="2025-07-29T13:39:57.98" personId="{2A1C99EB-18AF-4488-8418-3AFA71E38E08}" id="{456B33F9-4752-4FA4-BDBC-A3B56339E078}">
    <text>This cell will calculate automatically once team information is added.</text>
  </threadedComment>
  <threadedComment ref="A8" dT="2025-07-28T18:14:14.43" personId="{2A1C99EB-18AF-4488-8418-3AFA71E38E08}" id="{9A469925-F20C-4614-B97A-3881973DB393}">
    <text>This cell must be updated manually for each event.</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9.xml.rels><?xml version="1.0" encoding="UTF-8" standalone="yes"?>
<Relationships xmlns="http://schemas.openxmlformats.org/package/2006/relationships"><Relationship Id="rId8" Type="http://schemas.openxmlformats.org/officeDocument/2006/relationships/table" Target="../tables/table14.xml"/><Relationship Id="rId3" Type="http://schemas.openxmlformats.org/officeDocument/2006/relationships/table" Target="../tables/table9.xml"/><Relationship Id="rId7" Type="http://schemas.openxmlformats.org/officeDocument/2006/relationships/table" Target="../tables/table13.xml"/><Relationship Id="rId2" Type="http://schemas.openxmlformats.org/officeDocument/2006/relationships/table" Target="../tables/table8.xml"/><Relationship Id="rId1" Type="http://schemas.openxmlformats.org/officeDocument/2006/relationships/table" Target="../tables/table7.xml"/><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B1:AS15"/>
  <sheetViews>
    <sheetView showGridLines="0" showRowColHeaders="0" zoomScale="50" zoomScaleNormal="50" workbookViewId="0">
      <selection activeCell="AE14" sqref="AE14:AR15"/>
    </sheetView>
  </sheetViews>
  <sheetFormatPr defaultRowHeight="14.25" x14ac:dyDescent="0.45"/>
  <cols>
    <col min="6" max="6" width="9.1328125" customWidth="1"/>
  </cols>
  <sheetData>
    <row r="1" spans="2:45" ht="45" customHeight="1" x14ac:dyDescent="0.45">
      <c r="W1" s="96" t="s">
        <v>0</v>
      </c>
      <c r="X1" s="96"/>
      <c r="Y1" s="96"/>
      <c r="Z1" s="96"/>
      <c r="AA1" s="96"/>
      <c r="AB1" s="96"/>
      <c r="AC1" s="96"/>
      <c r="AD1" s="96"/>
      <c r="AE1" s="96"/>
      <c r="AF1" s="96"/>
      <c r="AG1" s="96"/>
      <c r="AH1" s="96"/>
      <c r="AI1" s="96"/>
      <c r="AJ1" s="96"/>
      <c r="AK1" s="96"/>
      <c r="AL1" s="96"/>
      <c r="AM1" s="96"/>
      <c r="AN1" s="96"/>
      <c r="AO1" s="96"/>
      <c r="AP1" s="96"/>
    </row>
    <row r="2" spans="2:45" ht="45" customHeight="1" x14ac:dyDescent="0.45">
      <c r="W2" s="96"/>
      <c r="X2" s="96"/>
      <c r="Y2" s="96"/>
      <c r="Z2" s="96"/>
      <c r="AA2" s="96"/>
      <c r="AB2" s="96"/>
      <c r="AC2" s="96"/>
      <c r="AD2" s="96"/>
      <c r="AE2" s="96"/>
      <c r="AF2" s="96"/>
      <c r="AG2" s="96"/>
      <c r="AH2" s="96"/>
      <c r="AI2" s="96"/>
      <c r="AJ2" s="96"/>
      <c r="AK2" s="96"/>
      <c r="AL2" s="96"/>
      <c r="AM2" s="96"/>
      <c r="AN2" s="96"/>
      <c r="AO2" s="96"/>
      <c r="AP2" s="96"/>
    </row>
    <row r="3" spans="2:45" ht="45" customHeight="1" x14ac:dyDescent="0.45">
      <c r="W3" s="2"/>
      <c r="X3" s="2"/>
      <c r="Y3" s="2"/>
      <c r="Z3" s="2"/>
      <c r="AA3" s="2"/>
      <c r="AB3" s="2"/>
      <c r="AC3" s="2"/>
      <c r="AD3" s="2"/>
      <c r="AE3" s="2"/>
      <c r="AF3" s="2"/>
      <c r="AG3" s="2"/>
      <c r="AH3" s="2"/>
      <c r="AI3" s="2"/>
      <c r="AJ3" s="2"/>
      <c r="AK3" s="2"/>
      <c r="AL3" s="2"/>
      <c r="AM3" s="2"/>
      <c r="AN3" s="2"/>
    </row>
    <row r="4" spans="2:45" ht="90.75" customHeight="1" x14ac:dyDescent="0.45">
      <c r="D4" s="10" t="s">
        <v>1</v>
      </c>
      <c r="E4" s="106" t="s">
        <v>2</v>
      </c>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row>
    <row r="5" spans="2:45" ht="90.75" customHeight="1" x14ac:dyDescent="0.45">
      <c r="D5" s="6"/>
      <c r="E5" s="9"/>
      <c r="F5" s="107" t="s">
        <v>3</v>
      </c>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c r="AP5" s="107"/>
      <c r="AQ5" s="107"/>
      <c r="AR5" s="107"/>
      <c r="AS5" s="7"/>
    </row>
    <row r="6" spans="2:45" ht="90.75" customHeight="1" x14ac:dyDescent="0.45">
      <c r="D6" s="10" t="s">
        <v>4</v>
      </c>
      <c r="E6" s="106" t="s">
        <v>5</v>
      </c>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row>
    <row r="7" spans="2:45" ht="90.75" customHeight="1" x14ac:dyDescent="0.45">
      <c r="D7" s="10" t="s">
        <v>6</v>
      </c>
      <c r="E7" s="106" t="s">
        <v>7</v>
      </c>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row>
    <row r="8" spans="2:45" ht="90.75" customHeight="1" x14ac:dyDescent="0.45">
      <c r="D8" s="8"/>
      <c r="E8" s="9"/>
      <c r="F8" s="107" t="s">
        <v>8</v>
      </c>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c r="AL8" s="107"/>
      <c r="AM8" s="107"/>
      <c r="AN8" s="107"/>
      <c r="AO8" s="107"/>
      <c r="AP8" s="107"/>
      <c r="AQ8" s="107"/>
      <c r="AR8" s="107"/>
      <c r="AS8" s="9"/>
    </row>
    <row r="9" spans="2:45" ht="90.75" customHeight="1" x14ac:dyDescent="0.45">
      <c r="D9" s="10" t="s">
        <v>9</v>
      </c>
      <c r="E9" s="106" t="s">
        <v>10</v>
      </c>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row>
    <row r="10" spans="2:45" ht="90.75" customHeight="1" x14ac:dyDescent="0.45">
      <c r="D10" s="10" t="s">
        <v>11</v>
      </c>
      <c r="E10" s="106" t="s">
        <v>12</v>
      </c>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row>
    <row r="11" spans="2:45" ht="14.65" thickBot="1" x14ac:dyDescent="0.5"/>
    <row r="12" spans="2:45" ht="46.15" x14ac:dyDescent="0.45">
      <c r="B12" s="4" t="s">
        <v>13</v>
      </c>
      <c r="C12" s="1"/>
      <c r="D12" s="1"/>
      <c r="E12" s="1"/>
      <c r="F12" s="97" t="s">
        <v>14</v>
      </c>
      <c r="G12" s="98"/>
      <c r="H12" s="98"/>
      <c r="I12" s="98"/>
      <c r="J12" s="98"/>
      <c r="K12" s="98"/>
      <c r="L12" s="98"/>
      <c r="M12" s="99"/>
      <c r="N12" s="5"/>
      <c r="O12" s="97" t="s">
        <v>15</v>
      </c>
      <c r="P12" s="98"/>
      <c r="Q12" s="98"/>
      <c r="R12" s="98"/>
      <c r="S12" s="98"/>
      <c r="T12" s="98"/>
      <c r="U12" s="98"/>
      <c r="V12" s="99"/>
      <c r="W12" s="5"/>
      <c r="X12" s="97" t="s">
        <v>16</v>
      </c>
      <c r="Y12" s="98"/>
      <c r="Z12" s="98"/>
      <c r="AA12" s="98"/>
      <c r="AB12" s="98"/>
      <c r="AC12" s="99"/>
      <c r="AD12" s="5"/>
      <c r="AE12" s="97" t="s">
        <v>115</v>
      </c>
      <c r="AF12" s="98"/>
      <c r="AG12" s="98"/>
      <c r="AH12" s="98"/>
      <c r="AI12" s="98"/>
      <c r="AJ12" s="98"/>
      <c r="AK12" s="98"/>
      <c r="AL12" s="98"/>
      <c r="AM12" s="98"/>
      <c r="AN12" s="98"/>
      <c r="AO12" s="98"/>
      <c r="AP12" s="98"/>
      <c r="AQ12" s="98"/>
      <c r="AR12" s="99"/>
    </row>
    <row r="13" spans="2:45" ht="46.5" thickBot="1" x14ac:dyDescent="0.5">
      <c r="B13" s="1"/>
      <c r="C13" s="1"/>
      <c r="D13" s="3"/>
      <c r="E13" s="1"/>
      <c r="F13" s="100"/>
      <c r="G13" s="101"/>
      <c r="H13" s="101"/>
      <c r="I13" s="101"/>
      <c r="J13" s="101"/>
      <c r="K13" s="101"/>
      <c r="L13" s="101"/>
      <c r="M13" s="102"/>
      <c r="N13" s="5"/>
      <c r="O13" s="100"/>
      <c r="P13" s="101"/>
      <c r="Q13" s="101"/>
      <c r="R13" s="101"/>
      <c r="S13" s="101"/>
      <c r="T13" s="101"/>
      <c r="U13" s="101"/>
      <c r="V13" s="102"/>
      <c r="W13" s="5"/>
      <c r="X13" s="100"/>
      <c r="Y13" s="101"/>
      <c r="Z13" s="101"/>
      <c r="AA13" s="101"/>
      <c r="AB13" s="101"/>
      <c r="AC13" s="102"/>
      <c r="AD13" s="5"/>
      <c r="AE13" s="103"/>
      <c r="AF13" s="104"/>
      <c r="AG13" s="104"/>
      <c r="AH13" s="104"/>
      <c r="AI13" s="104"/>
      <c r="AJ13" s="104"/>
      <c r="AK13" s="104"/>
      <c r="AL13" s="104"/>
      <c r="AM13" s="104"/>
      <c r="AN13" s="104"/>
      <c r="AO13" s="104"/>
      <c r="AP13" s="104"/>
      <c r="AQ13" s="104"/>
      <c r="AR13" s="105"/>
    </row>
    <row r="14" spans="2:45" ht="25.5" x14ac:dyDescent="0.45">
      <c r="B14" s="1"/>
      <c r="C14" s="1"/>
      <c r="D14" s="1"/>
      <c r="E14" s="1"/>
      <c r="F14" s="100" t="s">
        <v>17</v>
      </c>
      <c r="G14" s="101"/>
      <c r="H14" s="101"/>
      <c r="I14" s="101"/>
      <c r="J14" s="101"/>
      <c r="K14" s="101"/>
      <c r="L14" s="101"/>
      <c r="M14" s="102"/>
      <c r="N14" s="5"/>
      <c r="O14" s="100"/>
      <c r="P14" s="101"/>
      <c r="Q14" s="101"/>
      <c r="R14" s="101"/>
      <c r="S14" s="101"/>
      <c r="T14" s="101"/>
      <c r="U14" s="101"/>
      <c r="V14" s="102"/>
      <c r="W14" s="5"/>
      <c r="X14" s="100"/>
      <c r="Y14" s="101"/>
      <c r="Z14" s="101"/>
      <c r="AA14" s="101"/>
      <c r="AB14" s="101"/>
      <c r="AC14" s="102"/>
      <c r="AD14" s="5"/>
      <c r="AE14" s="100" t="s">
        <v>18</v>
      </c>
      <c r="AF14" s="101"/>
      <c r="AG14" s="101"/>
      <c r="AH14" s="101"/>
      <c r="AI14" s="101"/>
      <c r="AJ14" s="101"/>
      <c r="AK14" s="101"/>
      <c r="AL14" s="101"/>
      <c r="AM14" s="101"/>
      <c r="AN14" s="101"/>
      <c r="AO14" s="101"/>
      <c r="AP14" s="101"/>
      <c r="AQ14" s="101"/>
      <c r="AR14" s="102"/>
    </row>
    <row r="15" spans="2:45" ht="25.9" thickBot="1" x14ac:dyDescent="0.5">
      <c r="B15" s="1"/>
      <c r="C15" s="1"/>
      <c r="D15" s="1"/>
      <c r="E15" s="1"/>
      <c r="F15" s="103"/>
      <c r="G15" s="104"/>
      <c r="H15" s="104"/>
      <c r="I15" s="104"/>
      <c r="J15" s="104"/>
      <c r="K15" s="104"/>
      <c r="L15" s="104"/>
      <c r="M15" s="105"/>
      <c r="N15" s="5"/>
      <c r="O15" s="103"/>
      <c r="P15" s="104"/>
      <c r="Q15" s="104"/>
      <c r="R15" s="104"/>
      <c r="S15" s="104"/>
      <c r="T15" s="104"/>
      <c r="U15" s="104"/>
      <c r="V15" s="105"/>
      <c r="W15" s="5"/>
      <c r="X15" s="103"/>
      <c r="Y15" s="104"/>
      <c r="Z15" s="104"/>
      <c r="AA15" s="104"/>
      <c r="AB15" s="104"/>
      <c r="AC15" s="105"/>
      <c r="AD15" s="5"/>
      <c r="AE15" s="103"/>
      <c r="AF15" s="104"/>
      <c r="AG15" s="104"/>
      <c r="AH15" s="104"/>
      <c r="AI15" s="104"/>
      <c r="AJ15" s="104"/>
      <c r="AK15" s="104"/>
      <c r="AL15" s="104"/>
      <c r="AM15" s="104"/>
      <c r="AN15" s="104"/>
      <c r="AO15" s="104"/>
      <c r="AP15" s="104"/>
      <c r="AQ15" s="104"/>
      <c r="AR15" s="105"/>
    </row>
  </sheetData>
  <mergeCells count="14">
    <mergeCell ref="W1:AP2"/>
    <mergeCell ref="F12:M13"/>
    <mergeCell ref="O12:V15"/>
    <mergeCell ref="X12:AC15"/>
    <mergeCell ref="AE12:AR13"/>
    <mergeCell ref="F14:M15"/>
    <mergeCell ref="AE14:AR15"/>
    <mergeCell ref="E9:AS9"/>
    <mergeCell ref="E10:AS10"/>
    <mergeCell ref="F5:AR5"/>
    <mergeCell ref="F8:AR8"/>
    <mergeCell ref="E4:AS4"/>
    <mergeCell ref="E6:AS6"/>
    <mergeCell ref="E7:AS7"/>
  </mergeCells>
  <pageMargins left="0.7" right="0.7" top="0.75" bottom="0.75" header="0.3" footer="0.3"/>
  <ignoredErrors>
    <ignoredError sqref="D4 D6:D7 D9:D10" numberStoredAsText="1"/>
  </ignoredError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1CD1E-C045-4D7B-B5B5-9E53B3A5179D}">
  <sheetPr>
    <tabColor theme="0"/>
  </sheetPr>
  <dimension ref="A1:F202"/>
  <sheetViews>
    <sheetView showGridLines="0" workbookViewId="0"/>
  </sheetViews>
  <sheetFormatPr defaultRowHeight="14.25" x14ac:dyDescent="0.45"/>
  <cols>
    <col min="1" max="1" width="23.86328125" bestFit="1" customWidth="1"/>
    <col min="2" max="2" width="9.46484375" bestFit="1" customWidth="1"/>
    <col min="3" max="3" width="23.86328125" bestFit="1" customWidth="1"/>
    <col min="4" max="4" width="68.53125" customWidth="1"/>
    <col min="5" max="5" width="13.33203125" bestFit="1" customWidth="1"/>
    <col min="6" max="6" width="21.53125" bestFit="1" customWidth="1"/>
  </cols>
  <sheetData>
    <row r="1" spans="1:6" ht="39.75" customHeight="1" x14ac:dyDescent="0.45">
      <c r="A1" s="11" t="s">
        <v>19</v>
      </c>
      <c r="B1" s="12"/>
      <c r="C1" s="108" t="s">
        <v>20</v>
      </c>
      <c r="D1" s="109"/>
      <c r="E1" s="109"/>
      <c r="F1" s="109"/>
    </row>
    <row r="2" spans="1:6" ht="39.75" customHeight="1" x14ac:dyDescent="0.45">
      <c r="A2" s="13" t="s">
        <v>21</v>
      </c>
      <c r="B2" s="14" t="s">
        <v>22</v>
      </c>
      <c r="C2" s="15" t="s">
        <v>23</v>
      </c>
      <c r="D2" s="15" t="s">
        <v>24</v>
      </c>
      <c r="E2" s="11" t="s">
        <v>25</v>
      </c>
      <c r="F2" s="11" t="s">
        <v>26</v>
      </c>
    </row>
    <row r="3" spans="1:6" ht="39.75" customHeight="1" x14ac:dyDescent="0.45">
      <c r="A3" s="12"/>
      <c r="B3" s="16">
        <v>1</v>
      </c>
      <c r="C3" s="17"/>
      <c r="D3" s="22"/>
      <c r="E3" s="17"/>
      <c r="F3" s="17"/>
    </row>
    <row r="4" spans="1:6" ht="39.75" customHeight="1" x14ac:dyDescent="0.45">
      <c r="A4" s="11" t="s">
        <v>27</v>
      </c>
      <c r="B4" s="18">
        <v>2</v>
      </c>
      <c r="C4" s="17"/>
      <c r="D4" s="22"/>
      <c r="E4" s="17"/>
      <c r="F4" s="17"/>
    </row>
    <row r="5" spans="1:6" ht="39.75" customHeight="1" x14ac:dyDescent="0.45">
      <c r="A5" s="11">
        <f>COUNTA(OfficialTeamList[Team Number])</f>
        <v>0</v>
      </c>
      <c r="B5" s="18">
        <v>3</v>
      </c>
      <c r="C5" s="17"/>
      <c r="D5" s="22"/>
      <c r="E5" s="19"/>
      <c r="F5" s="20"/>
    </row>
    <row r="6" spans="1:6" ht="39.75" customHeight="1" x14ac:dyDescent="0.45">
      <c r="A6" s="11"/>
      <c r="B6" s="18">
        <v>4</v>
      </c>
      <c r="C6" s="17"/>
      <c r="D6" s="22"/>
      <c r="E6" s="17"/>
      <c r="F6" s="17"/>
    </row>
    <row r="7" spans="1:6" ht="39.75" customHeight="1" thickBot="1" x14ac:dyDescent="0.5">
      <c r="A7" s="21" t="s">
        <v>28</v>
      </c>
      <c r="B7" s="18">
        <v>5</v>
      </c>
      <c r="C7" s="17"/>
      <c r="D7" s="22"/>
      <c r="E7" s="17"/>
      <c r="F7" s="17"/>
    </row>
    <row r="8" spans="1:6" ht="39.75" customHeight="1" thickTop="1" thickBot="1" x14ac:dyDescent="0.5">
      <c r="A8" s="93">
        <v>1</v>
      </c>
      <c r="B8" s="18">
        <v>6</v>
      </c>
      <c r="C8" s="17"/>
      <c r="D8" s="22"/>
      <c r="E8" s="17"/>
      <c r="F8" s="17"/>
    </row>
    <row r="9" spans="1:6" ht="39.75" customHeight="1" thickTop="1" x14ac:dyDescent="0.45">
      <c r="A9" s="11"/>
      <c r="B9" s="18">
        <v>7</v>
      </c>
      <c r="C9" s="17"/>
      <c r="D9" s="22"/>
      <c r="E9" s="17"/>
      <c r="F9" s="17"/>
    </row>
    <row r="10" spans="1:6" ht="39.75" customHeight="1" x14ac:dyDescent="0.45">
      <c r="A10" s="89" t="s">
        <v>29</v>
      </c>
      <c r="B10" s="18">
        <v>8</v>
      </c>
      <c r="C10" s="17"/>
      <c r="D10" s="22"/>
      <c r="E10" s="17"/>
      <c r="F10" s="17"/>
    </row>
    <row r="11" spans="1:6" ht="39.75" customHeight="1" x14ac:dyDescent="0.45">
      <c r="A11" s="90" t="s">
        <v>30</v>
      </c>
      <c r="B11" s="18">
        <v>9</v>
      </c>
      <c r="C11" s="17"/>
      <c r="D11" s="22"/>
      <c r="E11" s="17"/>
      <c r="F11" s="17"/>
    </row>
    <row r="12" spans="1:6" ht="39.75" customHeight="1" x14ac:dyDescent="0.45">
      <c r="A12" s="91" t="s">
        <v>31</v>
      </c>
      <c r="B12" s="18">
        <v>10</v>
      </c>
      <c r="C12" s="17"/>
      <c r="D12" s="22"/>
      <c r="E12" s="17"/>
      <c r="F12" s="17"/>
    </row>
    <row r="13" spans="1:6" ht="39.75" customHeight="1" x14ac:dyDescent="0.45">
      <c r="A13" s="91" t="s">
        <v>32</v>
      </c>
      <c r="B13" s="18">
        <v>11</v>
      </c>
      <c r="C13" s="17"/>
      <c r="D13" s="22"/>
      <c r="E13" s="17"/>
      <c r="F13" s="17"/>
    </row>
    <row r="14" spans="1:6" ht="39.75" customHeight="1" x14ac:dyDescent="0.45">
      <c r="A14" s="91" t="s">
        <v>33</v>
      </c>
      <c r="B14" s="18">
        <v>12</v>
      </c>
      <c r="C14" s="17"/>
      <c r="D14" s="22"/>
      <c r="E14" s="17"/>
      <c r="F14" s="17"/>
    </row>
    <row r="15" spans="1:6" ht="39.75" customHeight="1" x14ac:dyDescent="0.45">
      <c r="A15" s="91" t="s">
        <v>34</v>
      </c>
      <c r="B15" s="18">
        <v>13</v>
      </c>
      <c r="C15" s="17"/>
      <c r="D15" s="22"/>
      <c r="E15" s="17"/>
      <c r="F15" s="17"/>
    </row>
    <row r="16" spans="1:6" ht="39.75" customHeight="1" x14ac:dyDescent="0.45">
      <c r="A16" s="91" t="s">
        <v>35</v>
      </c>
      <c r="B16" s="18">
        <v>14</v>
      </c>
      <c r="C16" s="17"/>
      <c r="D16" s="22"/>
      <c r="E16" s="17"/>
      <c r="F16" s="17"/>
    </row>
    <row r="17" spans="1:6" ht="39.75" customHeight="1" x14ac:dyDescent="0.45">
      <c r="A17" s="91" t="s">
        <v>36</v>
      </c>
      <c r="B17" s="18">
        <v>15</v>
      </c>
      <c r="C17" s="17"/>
      <c r="D17" s="22"/>
      <c r="E17" s="17"/>
      <c r="F17" s="17"/>
    </row>
    <row r="18" spans="1:6" ht="39.75" customHeight="1" x14ac:dyDescent="0.45">
      <c r="A18" s="92" t="s">
        <v>37</v>
      </c>
      <c r="B18" s="18">
        <v>16</v>
      </c>
      <c r="C18" s="17"/>
      <c r="D18" s="22"/>
      <c r="E18" s="17"/>
      <c r="F18" s="17"/>
    </row>
    <row r="19" spans="1:6" ht="39.75" customHeight="1" x14ac:dyDescent="0.45">
      <c r="A19" s="92"/>
      <c r="B19" s="18">
        <v>17</v>
      </c>
      <c r="C19" s="17"/>
      <c r="D19" s="22"/>
      <c r="E19" s="17"/>
      <c r="F19" s="17"/>
    </row>
    <row r="20" spans="1:6" ht="39.75" customHeight="1" x14ac:dyDescent="0.45">
      <c r="A20" s="92"/>
      <c r="B20" s="18">
        <v>18</v>
      </c>
      <c r="C20" s="17"/>
      <c r="D20" s="22"/>
      <c r="E20" s="17"/>
      <c r="F20" s="17"/>
    </row>
    <row r="21" spans="1:6" ht="39.75" customHeight="1" x14ac:dyDescent="0.45">
      <c r="A21" s="18"/>
      <c r="B21" s="18">
        <v>19</v>
      </c>
      <c r="C21" s="17"/>
      <c r="D21" s="22"/>
      <c r="E21" s="17"/>
      <c r="F21" s="17"/>
    </row>
    <row r="22" spans="1:6" ht="39.75" customHeight="1" x14ac:dyDescent="0.45">
      <c r="A22" s="18"/>
      <c r="B22" s="18">
        <v>20</v>
      </c>
      <c r="C22" s="17"/>
      <c r="D22" s="22"/>
      <c r="E22" s="17"/>
      <c r="F22" s="17"/>
    </row>
    <row r="23" spans="1:6" ht="39.75" customHeight="1" x14ac:dyDescent="0.45">
      <c r="A23" s="18"/>
      <c r="B23" s="18">
        <v>21</v>
      </c>
      <c r="C23" s="17"/>
      <c r="D23" s="22"/>
      <c r="E23" s="17"/>
      <c r="F23" s="17"/>
    </row>
    <row r="24" spans="1:6" ht="39.75" customHeight="1" x14ac:dyDescent="0.45">
      <c r="A24" s="18"/>
      <c r="B24" s="18">
        <v>22</v>
      </c>
      <c r="C24" s="17"/>
      <c r="D24" s="22"/>
      <c r="E24" s="17"/>
      <c r="F24" s="17"/>
    </row>
    <row r="25" spans="1:6" ht="39.75" customHeight="1" x14ac:dyDescent="0.45">
      <c r="A25" s="18"/>
      <c r="B25" s="18">
        <v>23</v>
      </c>
      <c r="C25" s="17"/>
      <c r="D25" s="22"/>
      <c r="E25" s="17"/>
      <c r="F25" s="17"/>
    </row>
    <row r="26" spans="1:6" ht="39.75" customHeight="1" x14ac:dyDescent="0.45">
      <c r="A26" s="11"/>
      <c r="B26" s="18">
        <v>24</v>
      </c>
      <c r="C26" s="17"/>
      <c r="D26" s="22"/>
      <c r="E26" s="17"/>
      <c r="F26" s="17"/>
    </row>
    <row r="27" spans="1:6" ht="39.75" customHeight="1" x14ac:dyDescent="0.45">
      <c r="A27" s="11"/>
      <c r="B27" s="18">
        <v>25</v>
      </c>
      <c r="C27" s="17"/>
      <c r="D27" s="22"/>
      <c r="E27" s="17"/>
      <c r="F27" s="17"/>
    </row>
    <row r="28" spans="1:6" ht="39.75" customHeight="1" x14ac:dyDescent="0.45">
      <c r="A28" s="11"/>
      <c r="B28" s="18">
        <v>26</v>
      </c>
      <c r="C28" s="17"/>
      <c r="D28" s="22"/>
      <c r="E28" s="17"/>
      <c r="F28" s="17"/>
    </row>
    <row r="29" spans="1:6" ht="39.75" customHeight="1" x14ac:dyDescent="0.45">
      <c r="A29" s="11"/>
      <c r="B29" s="18">
        <v>27</v>
      </c>
      <c r="C29" s="17"/>
      <c r="D29" s="22"/>
      <c r="E29" s="17"/>
      <c r="F29" s="17"/>
    </row>
    <row r="30" spans="1:6" ht="39.75" customHeight="1" x14ac:dyDescent="0.45">
      <c r="A30" s="11"/>
      <c r="B30" s="18">
        <v>28</v>
      </c>
      <c r="C30" s="17"/>
      <c r="D30" s="22"/>
      <c r="E30" s="17"/>
      <c r="F30" s="17"/>
    </row>
    <row r="31" spans="1:6" ht="39.75" customHeight="1" x14ac:dyDescent="0.45">
      <c r="A31" s="11"/>
      <c r="B31" s="18">
        <v>29</v>
      </c>
      <c r="C31" s="17"/>
      <c r="D31" s="22"/>
      <c r="E31" s="17"/>
      <c r="F31" s="17"/>
    </row>
    <row r="32" spans="1:6" ht="39.75" customHeight="1" x14ac:dyDescent="0.45">
      <c r="A32" s="11"/>
      <c r="B32" s="18">
        <v>30</v>
      </c>
      <c r="C32" s="17"/>
      <c r="D32" s="22"/>
      <c r="E32" s="17"/>
      <c r="F32" s="17"/>
    </row>
    <row r="33" spans="1:6" ht="39.75" customHeight="1" x14ac:dyDescent="0.45">
      <c r="A33" s="11"/>
      <c r="B33" s="18">
        <v>31</v>
      </c>
      <c r="C33" s="17"/>
      <c r="D33" s="22"/>
      <c r="E33" s="17"/>
      <c r="F33" s="17"/>
    </row>
    <row r="34" spans="1:6" ht="39.75" customHeight="1" x14ac:dyDescent="0.45">
      <c r="A34" s="11"/>
      <c r="B34" s="18">
        <v>32</v>
      </c>
      <c r="C34" s="17"/>
      <c r="D34" s="22"/>
      <c r="E34" s="17"/>
      <c r="F34" s="17"/>
    </row>
    <row r="35" spans="1:6" ht="39.75" customHeight="1" x14ac:dyDescent="0.45">
      <c r="A35" s="11"/>
      <c r="B35" s="18">
        <v>33</v>
      </c>
      <c r="C35" s="17"/>
      <c r="D35" s="22"/>
      <c r="E35" s="17"/>
      <c r="F35" s="17"/>
    </row>
    <row r="36" spans="1:6" ht="39.75" customHeight="1" x14ac:dyDescent="0.45">
      <c r="A36" s="11"/>
      <c r="B36" s="18">
        <v>34</v>
      </c>
      <c r="C36" s="17"/>
      <c r="D36" s="22"/>
      <c r="E36" s="17"/>
      <c r="F36" s="17"/>
    </row>
    <row r="37" spans="1:6" ht="39.75" customHeight="1" x14ac:dyDescent="0.45">
      <c r="A37" s="11"/>
      <c r="B37" s="18">
        <v>35</v>
      </c>
      <c r="C37" s="17"/>
      <c r="D37" s="22"/>
      <c r="E37" s="17"/>
      <c r="F37" s="17"/>
    </row>
    <row r="38" spans="1:6" ht="39.75" customHeight="1" x14ac:dyDescent="0.45">
      <c r="A38" s="11"/>
      <c r="B38" s="18">
        <v>36</v>
      </c>
      <c r="C38" s="17"/>
      <c r="D38" s="22"/>
      <c r="E38" s="17"/>
      <c r="F38" s="17"/>
    </row>
    <row r="39" spans="1:6" ht="39.75" customHeight="1" x14ac:dyDescent="0.45">
      <c r="A39" s="11"/>
      <c r="B39" s="18">
        <v>37</v>
      </c>
      <c r="C39" s="17"/>
      <c r="D39" s="22"/>
      <c r="E39" s="17"/>
      <c r="F39" s="17"/>
    </row>
    <row r="40" spans="1:6" ht="39.75" customHeight="1" x14ac:dyDescent="0.45">
      <c r="A40" s="11"/>
      <c r="B40" s="18">
        <v>38</v>
      </c>
      <c r="C40" s="17"/>
      <c r="D40" s="22"/>
      <c r="E40" s="17"/>
      <c r="F40" s="17"/>
    </row>
    <row r="41" spans="1:6" ht="39.75" customHeight="1" x14ac:dyDescent="0.45">
      <c r="A41" s="11"/>
      <c r="B41" s="18">
        <v>39</v>
      </c>
      <c r="C41" s="17"/>
      <c r="D41" s="22"/>
      <c r="E41" s="17"/>
      <c r="F41" s="17"/>
    </row>
    <row r="42" spans="1:6" ht="39.75" customHeight="1" x14ac:dyDescent="0.45">
      <c r="A42" s="11"/>
      <c r="B42" s="18">
        <v>40</v>
      </c>
      <c r="C42" s="17"/>
      <c r="D42" s="22"/>
      <c r="E42" s="17"/>
      <c r="F42" s="17"/>
    </row>
    <row r="43" spans="1:6" ht="39.75" customHeight="1" x14ac:dyDescent="0.45">
      <c r="A43" s="11"/>
      <c r="B43" s="18">
        <v>41</v>
      </c>
      <c r="C43" s="17"/>
      <c r="D43" s="22"/>
      <c r="E43" s="17"/>
      <c r="F43" s="17"/>
    </row>
    <row r="44" spans="1:6" ht="39.75" customHeight="1" x14ac:dyDescent="0.45">
      <c r="A44" s="11"/>
      <c r="B44" s="18">
        <v>42</v>
      </c>
      <c r="C44" s="17"/>
      <c r="D44" s="22"/>
      <c r="E44" s="17"/>
      <c r="F44" s="17"/>
    </row>
    <row r="45" spans="1:6" ht="39.75" customHeight="1" x14ac:dyDescent="0.45">
      <c r="A45" s="11"/>
      <c r="B45" s="18">
        <v>43</v>
      </c>
      <c r="C45" s="17"/>
      <c r="D45" s="22"/>
      <c r="E45" s="17"/>
      <c r="F45" s="17"/>
    </row>
    <row r="46" spans="1:6" ht="39.75" customHeight="1" x14ac:dyDescent="0.45">
      <c r="A46" s="11"/>
      <c r="B46" s="18">
        <v>44</v>
      </c>
      <c r="C46" s="17"/>
      <c r="D46" s="22"/>
      <c r="E46" s="17"/>
      <c r="F46" s="17"/>
    </row>
    <row r="47" spans="1:6" ht="39.75" customHeight="1" x14ac:dyDescent="0.45">
      <c r="A47" s="11"/>
      <c r="B47" s="18">
        <v>45</v>
      </c>
      <c r="C47" s="17"/>
      <c r="D47" s="22"/>
      <c r="E47" s="17"/>
      <c r="F47" s="17"/>
    </row>
    <row r="48" spans="1:6" ht="39.75" customHeight="1" x14ac:dyDescent="0.45">
      <c r="A48" s="11"/>
      <c r="B48" s="18">
        <v>46</v>
      </c>
      <c r="C48" s="17"/>
      <c r="D48" s="22"/>
      <c r="E48" s="17"/>
      <c r="F48" s="17"/>
    </row>
    <row r="49" spans="1:6" ht="39.75" customHeight="1" x14ac:dyDescent="0.45">
      <c r="A49" s="11"/>
      <c r="B49" s="18">
        <v>47</v>
      </c>
      <c r="C49" s="17"/>
      <c r="D49" s="22"/>
      <c r="E49" s="17"/>
      <c r="F49" s="17"/>
    </row>
    <row r="50" spans="1:6" ht="39.75" customHeight="1" x14ac:dyDescent="0.45">
      <c r="A50" s="11"/>
      <c r="B50" s="18">
        <v>48</v>
      </c>
      <c r="C50" s="17"/>
      <c r="D50" s="22"/>
      <c r="E50" s="17"/>
      <c r="F50" s="17"/>
    </row>
    <row r="51" spans="1:6" ht="39.75" customHeight="1" x14ac:dyDescent="0.45">
      <c r="A51" s="11"/>
      <c r="B51" s="18">
        <v>49</v>
      </c>
      <c r="C51" s="17"/>
      <c r="D51" s="22"/>
      <c r="E51" s="17"/>
      <c r="F51" s="17"/>
    </row>
    <row r="52" spans="1:6" ht="39.75" customHeight="1" x14ac:dyDescent="0.45">
      <c r="A52" s="11"/>
      <c r="B52" s="18">
        <v>50</v>
      </c>
      <c r="C52" s="17"/>
      <c r="D52" s="22"/>
      <c r="E52" s="17"/>
      <c r="F52" s="17"/>
    </row>
    <row r="53" spans="1:6" ht="39.75" customHeight="1" x14ac:dyDescent="0.45">
      <c r="A53" s="11"/>
      <c r="B53" s="18">
        <v>51</v>
      </c>
      <c r="C53" s="17"/>
      <c r="D53" s="22"/>
      <c r="E53" s="17"/>
      <c r="F53" s="17"/>
    </row>
    <row r="54" spans="1:6" ht="39.75" customHeight="1" x14ac:dyDescent="0.45">
      <c r="A54" s="11"/>
      <c r="B54" s="18">
        <v>52</v>
      </c>
      <c r="C54" s="17"/>
      <c r="D54" s="22"/>
      <c r="E54" s="17"/>
      <c r="F54" s="17"/>
    </row>
    <row r="55" spans="1:6" ht="39.75" customHeight="1" x14ac:dyDescent="0.45">
      <c r="A55" s="11"/>
      <c r="B55" s="18">
        <v>53</v>
      </c>
      <c r="C55" s="17"/>
      <c r="D55" s="22"/>
      <c r="E55" s="17"/>
      <c r="F55" s="17"/>
    </row>
    <row r="56" spans="1:6" ht="39.75" customHeight="1" x14ac:dyDescent="0.45">
      <c r="A56" s="11"/>
      <c r="B56" s="18">
        <v>54</v>
      </c>
      <c r="C56" s="17"/>
      <c r="D56" s="22"/>
      <c r="E56" s="17"/>
      <c r="F56" s="17"/>
    </row>
    <row r="57" spans="1:6" ht="39.75" customHeight="1" x14ac:dyDescent="0.45">
      <c r="A57" s="11"/>
      <c r="B57" s="18">
        <v>55</v>
      </c>
      <c r="C57" s="17"/>
      <c r="D57" s="22"/>
      <c r="E57" s="17"/>
      <c r="F57" s="17"/>
    </row>
    <row r="58" spans="1:6" ht="39.75" customHeight="1" x14ac:dyDescent="0.45">
      <c r="A58" s="11"/>
      <c r="B58" s="18">
        <v>56</v>
      </c>
      <c r="C58" s="17"/>
      <c r="D58" s="22"/>
      <c r="E58" s="17"/>
      <c r="F58" s="17"/>
    </row>
    <row r="59" spans="1:6" ht="39.75" customHeight="1" x14ac:dyDescent="0.45">
      <c r="A59" s="11"/>
      <c r="B59" s="18">
        <v>57</v>
      </c>
      <c r="C59" s="17"/>
      <c r="D59" s="22"/>
      <c r="E59" s="17"/>
      <c r="F59" s="17"/>
    </row>
    <row r="60" spans="1:6" ht="39.75" customHeight="1" x14ac:dyDescent="0.45">
      <c r="A60" s="11"/>
      <c r="B60" s="18">
        <v>58</v>
      </c>
      <c r="C60" s="17"/>
      <c r="D60" s="22"/>
      <c r="E60" s="17"/>
      <c r="F60" s="17"/>
    </row>
    <row r="61" spans="1:6" ht="39.75" customHeight="1" x14ac:dyDescent="0.45">
      <c r="A61" s="11"/>
      <c r="B61" s="18">
        <v>59</v>
      </c>
      <c r="C61" s="17"/>
      <c r="D61" s="22"/>
      <c r="E61" s="17"/>
      <c r="F61" s="17"/>
    </row>
    <row r="62" spans="1:6" ht="39.75" customHeight="1" x14ac:dyDescent="0.45">
      <c r="A62" s="11"/>
      <c r="B62" s="18">
        <v>60</v>
      </c>
      <c r="C62" s="17"/>
      <c r="D62" s="22"/>
      <c r="E62" s="17"/>
      <c r="F62" s="17"/>
    </row>
    <row r="63" spans="1:6" ht="39.75" customHeight="1" x14ac:dyDescent="0.45">
      <c r="A63" s="11"/>
      <c r="B63" s="18">
        <v>61</v>
      </c>
      <c r="C63" s="17"/>
      <c r="D63" s="22"/>
      <c r="E63" s="17"/>
      <c r="F63" s="17"/>
    </row>
    <row r="64" spans="1:6" ht="39.75" customHeight="1" x14ac:dyDescent="0.45">
      <c r="A64" s="11"/>
      <c r="B64" s="18">
        <v>62</v>
      </c>
      <c r="C64" s="17"/>
      <c r="D64" s="22"/>
      <c r="E64" s="17"/>
      <c r="F64" s="17"/>
    </row>
    <row r="65" spans="1:6" ht="39.75" customHeight="1" x14ac:dyDescent="0.45">
      <c r="A65" s="11"/>
      <c r="B65" s="18">
        <v>63</v>
      </c>
      <c r="C65" s="17"/>
      <c r="D65" s="22"/>
      <c r="E65" s="17"/>
      <c r="F65" s="17"/>
    </row>
    <row r="66" spans="1:6" ht="39.75" customHeight="1" x14ac:dyDescent="0.45">
      <c r="A66" s="11"/>
      <c r="B66" s="18">
        <v>64</v>
      </c>
      <c r="C66" s="17"/>
      <c r="D66" s="22"/>
      <c r="E66" s="17"/>
      <c r="F66" s="17"/>
    </row>
    <row r="67" spans="1:6" ht="39.75" customHeight="1" x14ac:dyDescent="0.45">
      <c r="A67" s="11"/>
      <c r="B67" s="18">
        <v>65</v>
      </c>
      <c r="C67" s="17"/>
      <c r="D67" s="22"/>
      <c r="E67" s="17"/>
      <c r="F67" s="17"/>
    </row>
    <row r="68" spans="1:6" ht="39.75" customHeight="1" x14ac:dyDescent="0.45">
      <c r="A68" s="11"/>
      <c r="B68" s="18">
        <v>66</v>
      </c>
      <c r="C68" s="17"/>
      <c r="D68" s="22"/>
      <c r="E68" s="17"/>
      <c r="F68" s="17"/>
    </row>
    <row r="69" spans="1:6" ht="39.75" customHeight="1" x14ac:dyDescent="0.45">
      <c r="A69" s="11"/>
      <c r="B69" s="18">
        <v>67</v>
      </c>
      <c r="C69" s="17"/>
      <c r="D69" s="22"/>
      <c r="E69" s="17"/>
      <c r="F69" s="17"/>
    </row>
    <row r="70" spans="1:6" ht="39.75" customHeight="1" x14ac:dyDescent="0.45">
      <c r="A70" s="11"/>
      <c r="B70" s="18">
        <v>68</v>
      </c>
      <c r="C70" s="17"/>
      <c r="D70" s="22"/>
      <c r="E70" s="17"/>
      <c r="F70" s="17"/>
    </row>
    <row r="71" spans="1:6" ht="39.75" customHeight="1" x14ac:dyDescent="0.45">
      <c r="A71" s="11"/>
      <c r="B71" s="18">
        <v>69</v>
      </c>
      <c r="C71" s="17"/>
      <c r="D71" s="22"/>
      <c r="E71" s="17"/>
      <c r="F71" s="17"/>
    </row>
    <row r="72" spans="1:6" ht="39.75" customHeight="1" x14ac:dyDescent="0.45">
      <c r="A72" s="11"/>
      <c r="B72" s="18">
        <v>70</v>
      </c>
      <c r="C72" s="17"/>
      <c r="D72" s="22"/>
      <c r="E72" s="17"/>
      <c r="F72" s="17"/>
    </row>
    <row r="73" spans="1:6" ht="39.75" customHeight="1" x14ac:dyDescent="0.45">
      <c r="A73" s="11"/>
      <c r="B73" s="18">
        <v>71</v>
      </c>
      <c r="C73" s="17"/>
      <c r="D73" s="22"/>
      <c r="E73" s="17"/>
      <c r="F73" s="17"/>
    </row>
    <row r="74" spans="1:6" ht="39.75" customHeight="1" x14ac:dyDescent="0.45">
      <c r="A74" s="11"/>
      <c r="B74" s="18">
        <v>72</v>
      </c>
      <c r="C74" s="17"/>
      <c r="D74" s="22"/>
      <c r="E74" s="17"/>
      <c r="F74" s="17"/>
    </row>
    <row r="75" spans="1:6" ht="39.75" customHeight="1" x14ac:dyDescent="0.45">
      <c r="A75" s="11"/>
      <c r="B75" s="18">
        <v>73</v>
      </c>
      <c r="C75" s="17"/>
      <c r="D75" s="22"/>
      <c r="E75" s="17"/>
      <c r="F75" s="17"/>
    </row>
    <row r="76" spans="1:6" ht="39.75" customHeight="1" x14ac:dyDescent="0.45">
      <c r="A76" s="11"/>
      <c r="B76" s="18">
        <v>74</v>
      </c>
      <c r="C76" s="17"/>
      <c r="D76" s="22"/>
      <c r="E76" s="17"/>
      <c r="F76" s="17"/>
    </row>
    <row r="77" spans="1:6" ht="39.75" customHeight="1" x14ac:dyDescent="0.45">
      <c r="A77" s="11"/>
      <c r="B77" s="18">
        <v>75</v>
      </c>
      <c r="C77" s="17"/>
      <c r="D77" s="22"/>
      <c r="E77" s="17"/>
      <c r="F77" s="17"/>
    </row>
    <row r="78" spans="1:6" ht="39.75" customHeight="1" x14ac:dyDescent="0.45">
      <c r="A78" s="11"/>
      <c r="B78" s="18">
        <v>76</v>
      </c>
      <c r="C78" s="17"/>
      <c r="D78" s="22"/>
      <c r="E78" s="17"/>
      <c r="F78" s="17"/>
    </row>
    <row r="79" spans="1:6" ht="39.75" customHeight="1" x14ac:dyDescent="0.45">
      <c r="A79" s="11"/>
      <c r="B79" s="18">
        <v>77</v>
      </c>
      <c r="C79" s="17"/>
      <c r="D79" s="22"/>
      <c r="E79" s="17"/>
      <c r="F79" s="17"/>
    </row>
    <row r="80" spans="1:6" ht="39.75" customHeight="1" x14ac:dyDescent="0.45">
      <c r="A80" s="11"/>
      <c r="B80" s="18">
        <v>78</v>
      </c>
      <c r="C80" s="17"/>
      <c r="D80" s="22"/>
      <c r="E80" s="17"/>
      <c r="F80" s="17"/>
    </row>
    <row r="81" spans="1:6" ht="39.75" customHeight="1" x14ac:dyDescent="0.45">
      <c r="A81" s="11"/>
      <c r="B81" s="18">
        <v>79</v>
      </c>
      <c r="C81" s="17"/>
      <c r="D81" s="22"/>
      <c r="E81" s="17"/>
      <c r="F81" s="17"/>
    </row>
    <row r="82" spans="1:6" ht="39.75" customHeight="1" x14ac:dyDescent="0.45">
      <c r="A82" s="11"/>
      <c r="B82" s="18">
        <v>80</v>
      </c>
      <c r="C82" s="17"/>
      <c r="D82" s="22"/>
      <c r="E82" s="17"/>
      <c r="F82" s="17"/>
    </row>
    <row r="83" spans="1:6" ht="39.75" customHeight="1" x14ac:dyDescent="0.45">
      <c r="A83" s="11"/>
      <c r="B83" s="18">
        <v>81</v>
      </c>
      <c r="C83" s="17"/>
      <c r="D83" s="22"/>
      <c r="E83" s="17"/>
      <c r="F83" s="17"/>
    </row>
    <row r="84" spans="1:6" ht="39.75" customHeight="1" x14ac:dyDescent="0.45">
      <c r="A84" s="11"/>
      <c r="B84" s="18">
        <v>82</v>
      </c>
      <c r="C84" s="17"/>
      <c r="D84" s="22"/>
      <c r="E84" s="17"/>
      <c r="F84" s="17"/>
    </row>
    <row r="85" spans="1:6" ht="39.75" customHeight="1" x14ac:dyDescent="0.45">
      <c r="A85" s="11"/>
      <c r="B85" s="18">
        <v>83</v>
      </c>
      <c r="C85" s="17"/>
      <c r="D85" s="22"/>
      <c r="E85" s="17"/>
      <c r="F85" s="17"/>
    </row>
    <row r="86" spans="1:6" ht="39.75" customHeight="1" x14ac:dyDescent="0.45">
      <c r="A86" s="11"/>
      <c r="B86" s="18">
        <v>84</v>
      </c>
      <c r="C86" s="17"/>
      <c r="D86" s="22"/>
      <c r="E86" s="17"/>
      <c r="F86" s="17"/>
    </row>
    <row r="87" spans="1:6" ht="39.75" customHeight="1" x14ac:dyDescent="0.45">
      <c r="A87" s="11"/>
      <c r="B87" s="18">
        <v>85</v>
      </c>
      <c r="C87" s="17"/>
      <c r="D87" s="22"/>
      <c r="E87" s="17"/>
      <c r="F87" s="17"/>
    </row>
    <row r="88" spans="1:6" ht="39.75" customHeight="1" x14ac:dyDescent="0.45">
      <c r="A88" s="11"/>
      <c r="B88" s="18">
        <v>86</v>
      </c>
      <c r="C88" s="17"/>
      <c r="D88" s="22"/>
      <c r="E88" s="17"/>
      <c r="F88" s="17"/>
    </row>
    <row r="89" spans="1:6" ht="39.75" customHeight="1" x14ac:dyDescent="0.45">
      <c r="A89" s="11"/>
      <c r="B89" s="18">
        <v>87</v>
      </c>
      <c r="C89" s="17"/>
      <c r="D89" s="22"/>
      <c r="E89" s="17"/>
      <c r="F89" s="17"/>
    </row>
    <row r="90" spans="1:6" ht="39.75" customHeight="1" x14ac:dyDescent="0.45">
      <c r="A90" s="11"/>
      <c r="B90" s="18">
        <v>88</v>
      </c>
      <c r="C90" s="17"/>
      <c r="D90" s="22"/>
      <c r="E90" s="17"/>
      <c r="F90" s="17"/>
    </row>
    <row r="91" spans="1:6" ht="39.75" customHeight="1" x14ac:dyDescent="0.45">
      <c r="A91" s="11"/>
      <c r="B91" s="18">
        <v>89</v>
      </c>
      <c r="C91" s="17"/>
      <c r="D91" s="22"/>
      <c r="E91" s="17"/>
      <c r="F91" s="17"/>
    </row>
    <row r="92" spans="1:6" ht="39.75" customHeight="1" x14ac:dyDescent="0.45">
      <c r="A92" s="11"/>
      <c r="B92" s="18">
        <v>90</v>
      </c>
      <c r="C92" s="17"/>
      <c r="D92" s="22"/>
      <c r="E92" s="17"/>
      <c r="F92" s="17"/>
    </row>
    <row r="93" spans="1:6" ht="39.75" customHeight="1" x14ac:dyDescent="0.45">
      <c r="A93" s="11"/>
      <c r="B93" s="18">
        <v>91</v>
      </c>
      <c r="C93" s="17"/>
      <c r="D93" s="22"/>
      <c r="E93" s="17"/>
      <c r="F93" s="17"/>
    </row>
    <row r="94" spans="1:6" ht="39.75" customHeight="1" x14ac:dyDescent="0.45">
      <c r="A94" s="11"/>
      <c r="B94" s="18">
        <v>92</v>
      </c>
      <c r="C94" s="17"/>
      <c r="D94" s="22"/>
      <c r="E94" s="17"/>
      <c r="F94" s="17"/>
    </row>
    <row r="95" spans="1:6" ht="39.75" customHeight="1" x14ac:dyDescent="0.45">
      <c r="A95" s="11"/>
      <c r="B95" s="18">
        <v>93</v>
      </c>
      <c r="C95" s="17"/>
      <c r="D95" s="22"/>
      <c r="E95" s="17"/>
      <c r="F95" s="17"/>
    </row>
    <row r="96" spans="1:6" ht="39.75" customHeight="1" x14ac:dyDescent="0.45">
      <c r="A96" s="11"/>
      <c r="B96" s="18">
        <v>94</v>
      </c>
      <c r="C96" s="17"/>
      <c r="D96" s="22"/>
      <c r="E96" s="17"/>
      <c r="F96" s="17"/>
    </row>
    <row r="97" spans="1:6" ht="39.75" customHeight="1" x14ac:dyDescent="0.45">
      <c r="A97" s="11"/>
      <c r="B97" s="18">
        <v>95</v>
      </c>
      <c r="C97" s="17"/>
      <c r="D97" s="22"/>
      <c r="E97" s="17"/>
      <c r="F97" s="17"/>
    </row>
    <row r="98" spans="1:6" ht="39.75" customHeight="1" x14ac:dyDescent="0.45">
      <c r="A98" s="11"/>
      <c r="B98" s="18">
        <v>96</v>
      </c>
      <c r="C98" s="17"/>
      <c r="D98" s="22"/>
      <c r="E98" s="17"/>
      <c r="F98" s="17"/>
    </row>
    <row r="99" spans="1:6" ht="39.75" customHeight="1" x14ac:dyDescent="0.45">
      <c r="A99" s="11"/>
      <c r="B99" s="18">
        <v>97</v>
      </c>
      <c r="C99" s="17"/>
      <c r="D99" s="22"/>
      <c r="E99" s="17"/>
      <c r="F99" s="17"/>
    </row>
    <row r="100" spans="1:6" ht="39.75" customHeight="1" x14ac:dyDescent="0.45">
      <c r="A100" s="11"/>
      <c r="B100" s="18">
        <v>98</v>
      </c>
      <c r="C100" s="17"/>
      <c r="D100" s="22"/>
      <c r="E100" s="17"/>
      <c r="F100" s="17"/>
    </row>
    <row r="101" spans="1:6" ht="39.75" customHeight="1" x14ac:dyDescent="0.45">
      <c r="A101" s="11"/>
      <c r="B101" s="18">
        <v>99</v>
      </c>
      <c r="C101" s="17"/>
      <c r="D101" s="22"/>
      <c r="E101" s="17"/>
      <c r="F101" s="17"/>
    </row>
    <row r="102" spans="1:6" ht="39.75" customHeight="1" x14ac:dyDescent="0.45">
      <c r="A102" s="11"/>
      <c r="B102" s="18">
        <v>100</v>
      </c>
      <c r="C102" s="17"/>
      <c r="D102" s="22"/>
      <c r="E102" s="17"/>
      <c r="F102" s="17"/>
    </row>
    <row r="103" spans="1:6" ht="39.75" customHeight="1" x14ac:dyDescent="0.45">
      <c r="A103" s="11"/>
      <c r="B103" s="18">
        <v>101</v>
      </c>
      <c r="C103" s="17"/>
      <c r="D103" s="22"/>
      <c r="E103" s="17"/>
      <c r="F103" s="17"/>
    </row>
    <row r="104" spans="1:6" ht="39.75" customHeight="1" x14ac:dyDescent="0.45">
      <c r="A104" s="11"/>
      <c r="B104" s="18">
        <v>102</v>
      </c>
      <c r="C104" s="17"/>
      <c r="D104" s="22"/>
      <c r="E104" s="17"/>
      <c r="F104" s="17"/>
    </row>
    <row r="105" spans="1:6" ht="39.75" customHeight="1" x14ac:dyDescent="0.45">
      <c r="A105" s="11"/>
      <c r="B105" s="18">
        <v>103</v>
      </c>
      <c r="C105" s="17"/>
      <c r="D105" s="22"/>
      <c r="E105" s="17"/>
      <c r="F105" s="17"/>
    </row>
    <row r="106" spans="1:6" ht="39.75" customHeight="1" x14ac:dyDescent="0.45">
      <c r="A106" s="11"/>
      <c r="B106" s="18">
        <v>104</v>
      </c>
      <c r="C106" s="17"/>
      <c r="D106" s="22"/>
      <c r="E106" s="17"/>
      <c r="F106" s="17"/>
    </row>
    <row r="107" spans="1:6" ht="39.75" customHeight="1" x14ac:dyDescent="0.45">
      <c r="A107" s="11"/>
      <c r="B107" s="18">
        <v>105</v>
      </c>
      <c r="C107" s="17"/>
      <c r="D107" s="22"/>
      <c r="E107" s="17"/>
      <c r="F107" s="17"/>
    </row>
    <row r="108" spans="1:6" ht="39.75" customHeight="1" x14ac:dyDescent="0.45">
      <c r="A108" s="11"/>
      <c r="B108" s="18">
        <v>106</v>
      </c>
      <c r="C108" s="17"/>
      <c r="D108" s="22"/>
      <c r="E108" s="17"/>
      <c r="F108" s="17"/>
    </row>
    <row r="109" spans="1:6" ht="39.75" customHeight="1" x14ac:dyDescent="0.45">
      <c r="A109" s="11"/>
      <c r="B109" s="18">
        <v>107</v>
      </c>
      <c r="C109" s="17"/>
      <c r="D109" s="22"/>
      <c r="E109" s="17"/>
      <c r="F109" s="17"/>
    </row>
    <row r="110" spans="1:6" ht="39.75" customHeight="1" x14ac:dyDescent="0.45">
      <c r="A110" s="11"/>
      <c r="B110" s="18">
        <v>108</v>
      </c>
      <c r="C110" s="17"/>
      <c r="D110" s="22"/>
      <c r="E110" s="17"/>
      <c r="F110" s="17"/>
    </row>
    <row r="111" spans="1:6" ht="39.75" customHeight="1" x14ac:dyDescent="0.45">
      <c r="A111" s="11"/>
      <c r="B111" s="18">
        <v>109</v>
      </c>
      <c r="C111" s="17"/>
      <c r="D111" s="22"/>
      <c r="E111" s="17"/>
      <c r="F111" s="17"/>
    </row>
    <row r="112" spans="1:6" ht="39.75" customHeight="1" x14ac:dyDescent="0.45">
      <c r="A112" s="11"/>
      <c r="B112" s="18">
        <v>110</v>
      </c>
      <c r="C112" s="17"/>
      <c r="D112" s="22"/>
      <c r="E112" s="17"/>
      <c r="F112" s="17"/>
    </row>
    <row r="113" spans="1:6" ht="39.75" customHeight="1" x14ac:dyDescent="0.45">
      <c r="A113" s="11"/>
      <c r="B113" s="18">
        <v>111</v>
      </c>
      <c r="C113" s="17"/>
      <c r="D113" s="22"/>
      <c r="E113" s="17"/>
      <c r="F113" s="17"/>
    </row>
    <row r="114" spans="1:6" ht="39.75" customHeight="1" x14ac:dyDescent="0.45">
      <c r="A114" s="11"/>
      <c r="B114" s="18">
        <v>112</v>
      </c>
      <c r="C114" s="17"/>
      <c r="D114" s="22"/>
      <c r="E114" s="17"/>
      <c r="F114" s="17"/>
    </row>
    <row r="115" spans="1:6" ht="39.75" customHeight="1" x14ac:dyDescent="0.45">
      <c r="A115" s="11"/>
      <c r="B115" s="18">
        <v>113</v>
      </c>
      <c r="C115" s="17"/>
      <c r="D115" s="22"/>
      <c r="E115" s="17"/>
      <c r="F115" s="17"/>
    </row>
    <row r="116" spans="1:6" ht="39.75" customHeight="1" x14ac:dyDescent="0.45">
      <c r="A116" s="11"/>
      <c r="B116" s="18">
        <v>114</v>
      </c>
      <c r="C116" s="17"/>
      <c r="D116" s="22"/>
      <c r="E116" s="17"/>
      <c r="F116" s="17"/>
    </row>
    <row r="117" spans="1:6" ht="39.75" customHeight="1" x14ac:dyDescent="0.45">
      <c r="A117" s="11"/>
      <c r="B117" s="18">
        <v>115</v>
      </c>
      <c r="C117" s="17"/>
      <c r="D117" s="22"/>
      <c r="E117" s="17"/>
      <c r="F117" s="17"/>
    </row>
    <row r="118" spans="1:6" ht="39.75" customHeight="1" x14ac:dyDescent="0.45">
      <c r="A118" s="11"/>
      <c r="B118" s="18">
        <v>116</v>
      </c>
      <c r="C118" s="17"/>
      <c r="D118" s="22"/>
      <c r="E118" s="17"/>
      <c r="F118" s="17"/>
    </row>
    <row r="119" spans="1:6" ht="39.75" customHeight="1" x14ac:dyDescent="0.45">
      <c r="A119" s="11"/>
      <c r="B119" s="18">
        <v>117</v>
      </c>
      <c r="C119" s="17"/>
      <c r="D119" s="22"/>
      <c r="E119" s="17"/>
      <c r="F119" s="17"/>
    </row>
    <row r="120" spans="1:6" ht="39.75" customHeight="1" x14ac:dyDescent="0.45">
      <c r="A120" s="11"/>
      <c r="B120" s="18">
        <v>118</v>
      </c>
      <c r="C120" s="17"/>
      <c r="D120" s="22"/>
      <c r="E120" s="17"/>
      <c r="F120" s="17"/>
    </row>
    <row r="121" spans="1:6" ht="39.75" customHeight="1" x14ac:dyDescent="0.45">
      <c r="A121" s="11"/>
      <c r="B121" s="18">
        <v>119</v>
      </c>
      <c r="C121" s="17"/>
      <c r="D121" s="22"/>
      <c r="E121" s="17"/>
      <c r="F121" s="17"/>
    </row>
    <row r="122" spans="1:6" ht="39.75" customHeight="1" x14ac:dyDescent="0.45">
      <c r="A122" s="11"/>
      <c r="B122" s="18">
        <v>120</v>
      </c>
      <c r="C122" s="17"/>
      <c r="D122" s="22"/>
      <c r="E122" s="17"/>
      <c r="F122" s="17"/>
    </row>
    <row r="123" spans="1:6" ht="39.75" customHeight="1" x14ac:dyDescent="0.45">
      <c r="A123" s="11"/>
      <c r="B123" s="18">
        <v>121</v>
      </c>
      <c r="C123" s="17"/>
      <c r="D123" s="22"/>
      <c r="E123" s="17"/>
      <c r="F123" s="17"/>
    </row>
    <row r="124" spans="1:6" ht="39.75" customHeight="1" x14ac:dyDescent="0.45">
      <c r="A124" s="11"/>
      <c r="B124" s="18">
        <v>122</v>
      </c>
      <c r="C124" s="17"/>
      <c r="D124" s="22"/>
      <c r="E124" s="17"/>
      <c r="F124" s="17"/>
    </row>
    <row r="125" spans="1:6" ht="39.75" customHeight="1" x14ac:dyDescent="0.45">
      <c r="A125" s="11"/>
      <c r="B125" s="18">
        <v>123</v>
      </c>
      <c r="C125" s="17"/>
      <c r="D125" s="22"/>
      <c r="E125" s="17"/>
      <c r="F125" s="17"/>
    </row>
    <row r="126" spans="1:6" ht="39.75" customHeight="1" x14ac:dyDescent="0.45">
      <c r="A126" s="11"/>
      <c r="B126" s="18">
        <v>124</v>
      </c>
      <c r="C126" s="17"/>
      <c r="D126" s="22"/>
      <c r="E126" s="17"/>
      <c r="F126" s="17"/>
    </row>
    <row r="127" spans="1:6" ht="39.75" customHeight="1" x14ac:dyDescent="0.45">
      <c r="A127" s="11"/>
      <c r="B127" s="18">
        <v>125</v>
      </c>
      <c r="C127" s="17"/>
      <c r="D127" s="22"/>
      <c r="E127" s="17"/>
      <c r="F127" s="17"/>
    </row>
    <row r="128" spans="1:6" ht="39.75" customHeight="1" x14ac:dyDescent="0.45">
      <c r="A128" s="11"/>
      <c r="B128" s="18">
        <v>126</v>
      </c>
      <c r="C128" s="17"/>
      <c r="D128" s="22"/>
      <c r="E128" s="17"/>
      <c r="F128" s="17"/>
    </row>
    <row r="129" spans="1:6" ht="39.75" customHeight="1" x14ac:dyDescent="0.45">
      <c r="A129" s="11"/>
      <c r="B129" s="18">
        <v>127</v>
      </c>
      <c r="C129" s="17"/>
      <c r="D129" s="22"/>
      <c r="E129" s="17"/>
      <c r="F129" s="17"/>
    </row>
    <row r="130" spans="1:6" ht="39.75" customHeight="1" x14ac:dyDescent="0.45">
      <c r="A130" s="11"/>
      <c r="B130" s="18">
        <v>128</v>
      </c>
      <c r="C130" s="17"/>
      <c r="D130" s="22"/>
      <c r="E130" s="17"/>
      <c r="F130" s="17"/>
    </row>
    <row r="131" spans="1:6" ht="39.75" customHeight="1" x14ac:dyDescent="0.45">
      <c r="A131" s="11"/>
      <c r="B131" s="18">
        <v>129</v>
      </c>
      <c r="C131" s="17"/>
      <c r="D131" s="22"/>
      <c r="E131" s="17"/>
      <c r="F131" s="17"/>
    </row>
    <row r="132" spans="1:6" ht="39.75" customHeight="1" x14ac:dyDescent="0.45">
      <c r="A132" s="11"/>
      <c r="B132" s="18">
        <v>130</v>
      </c>
      <c r="C132" s="17"/>
      <c r="D132" s="22"/>
      <c r="E132" s="17"/>
      <c r="F132" s="17"/>
    </row>
    <row r="133" spans="1:6" ht="39.75" customHeight="1" x14ac:dyDescent="0.45">
      <c r="A133" s="11"/>
      <c r="B133" s="18">
        <v>131</v>
      </c>
      <c r="C133" s="17"/>
      <c r="D133" s="22"/>
      <c r="E133" s="17"/>
      <c r="F133" s="17"/>
    </row>
    <row r="134" spans="1:6" ht="39.75" customHeight="1" x14ac:dyDescent="0.45">
      <c r="A134" s="11"/>
      <c r="B134" s="18">
        <v>132</v>
      </c>
      <c r="C134" s="17"/>
      <c r="D134" s="22"/>
      <c r="E134" s="17"/>
      <c r="F134" s="17"/>
    </row>
    <row r="135" spans="1:6" ht="39.75" customHeight="1" x14ac:dyDescent="0.45">
      <c r="A135" s="11"/>
      <c r="B135" s="18">
        <v>133</v>
      </c>
      <c r="C135" s="17"/>
      <c r="D135" s="22"/>
      <c r="E135" s="17"/>
      <c r="F135" s="17"/>
    </row>
    <row r="136" spans="1:6" ht="39.75" customHeight="1" x14ac:dyDescent="0.45">
      <c r="A136" s="11"/>
      <c r="B136" s="18">
        <v>134</v>
      </c>
      <c r="C136" s="17"/>
      <c r="D136" s="22"/>
      <c r="E136" s="17"/>
      <c r="F136" s="17"/>
    </row>
    <row r="137" spans="1:6" ht="39.75" customHeight="1" x14ac:dyDescent="0.45">
      <c r="A137" s="11"/>
      <c r="B137" s="18">
        <v>135</v>
      </c>
      <c r="C137" s="17"/>
      <c r="D137" s="22"/>
      <c r="E137" s="17"/>
      <c r="F137" s="17"/>
    </row>
    <row r="138" spans="1:6" ht="39.75" customHeight="1" x14ac:dyDescent="0.45">
      <c r="A138" s="11"/>
      <c r="B138" s="18">
        <v>136</v>
      </c>
      <c r="C138" s="17"/>
      <c r="D138" s="22"/>
      <c r="E138" s="17"/>
      <c r="F138" s="17"/>
    </row>
    <row r="139" spans="1:6" ht="39.75" customHeight="1" x14ac:dyDescent="0.45">
      <c r="A139" s="11"/>
      <c r="B139" s="18">
        <v>137</v>
      </c>
      <c r="C139" s="17"/>
      <c r="D139" s="22"/>
      <c r="E139" s="17"/>
      <c r="F139" s="17"/>
    </row>
    <row r="140" spans="1:6" ht="39.75" customHeight="1" x14ac:dyDescent="0.45">
      <c r="A140" s="11"/>
      <c r="B140" s="18">
        <v>138</v>
      </c>
      <c r="C140" s="17"/>
      <c r="D140" s="22"/>
      <c r="E140" s="17"/>
      <c r="F140" s="17"/>
    </row>
    <row r="141" spans="1:6" ht="39.75" customHeight="1" x14ac:dyDescent="0.45">
      <c r="A141" s="11"/>
      <c r="B141" s="18">
        <v>139</v>
      </c>
      <c r="C141" s="17"/>
      <c r="D141" s="22"/>
      <c r="E141" s="17"/>
      <c r="F141" s="17"/>
    </row>
    <row r="142" spans="1:6" ht="39.75" customHeight="1" x14ac:dyDescent="0.45">
      <c r="A142" s="11"/>
      <c r="B142" s="18">
        <v>140</v>
      </c>
      <c r="C142" s="17"/>
      <c r="D142" s="22"/>
      <c r="E142" s="17"/>
      <c r="F142" s="17"/>
    </row>
    <row r="143" spans="1:6" ht="39.75" customHeight="1" x14ac:dyDescent="0.45">
      <c r="A143" s="11"/>
      <c r="B143" s="18">
        <v>141</v>
      </c>
      <c r="C143" s="17"/>
      <c r="D143" s="22"/>
      <c r="E143" s="17"/>
      <c r="F143" s="17"/>
    </row>
    <row r="144" spans="1:6" ht="39.75" customHeight="1" x14ac:dyDescent="0.45">
      <c r="A144" s="11"/>
      <c r="B144" s="18">
        <v>142</v>
      </c>
      <c r="C144" s="17"/>
      <c r="D144" s="22"/>
      <c r="E144" s="17"/>
      <c r="F144" s="17"/>
    </row>
    <row r="145" spans="1:6" ht="39.75" customHeight="1" x14ac:dyDescent="0.45">
      <c r="A145" s="11"/>
      <c r="B145" s="18">
        <v>143</v>
      </c>
      <c r="C145" s="17"/>
      <c r="D145" s="22"/>
      <c r="E145" s="17"/>
      <c r="F145" s="17"/>
    </row>
    <row r="146" spans="1:6" ht="39.75" customHeight="1" x14ac:dyDescent="0.45">
      <c r="A146" s="11"/>
      <c r="B146" s="18">
        <v>144</v>
      </c>
      <c r="C146" s="17"/>
      <c r="D146" s="22"/>
      <c r="E146" s="17"/>
      <c r="F146" s="17"/>
    </row>
    <row r="147" spans="1:6" ht="39.75" customHeight="1" x14ac:dyDescent="0.45">
      <c r="A147" s="11"/>
      <c r="B147" s="18">
        <v>145</v>
      </c>
      <c r="C147" s="17"/>
      <c r="D147" s="22"/>
      <c r="E147" s="17"/>
      <c r="F147" s="17"/>
    </row>
    <row r="148" spans="1:6" ht="39.75" customHeight="1" x14ac:dyDescent="0.45">
      <c r="A148" s="11"/>
      <c r="B148" s="18">
        <v>146</v>
      </c>
      <c r="C148" s="17"/>
      <c r="D148" s="22"/>
      <c r="E148" s="17"/>
      <c r="F148" s="17"/>
    </row>
    <row r="149" spans="1:6" ht="39.75" customHeight="1" x14ac:dyDescent="0.45">
      <c r="A149" s="11"/>
      <c r="B149" s="18">
        <v>147</v>
      </c>
      <c r="C149" s="17"/>
      <c r="D149" s="22"/>
      <c r="E149" s="17"/>
      <c r="F149" s="17"/>
    </row>
    <row r="150" spans="1:6" ht="39.75" customHeight="1" x14ac:dyDescent="0.45">
      <c r="A150" s="11"/>
      <c r="B150" s="18">
        <v>148</v>
      </c>
      <c r="C150" s="17"/>
      <c r="D150" s="22"/>
      <c r="E150" s="17"/>
      <c r="F150" s="17"/>
    </row>
    <row r="151" spans="1:6" ht="39.75" customHeight="1" x14ac:dyDescent="0.45">
      <c r="A151" s="11"/>
      <c r="B151" s="18">
        <v>149</v>
      </c>
      <c r="C151" s="17"/>
      <c r="D151" s="22"/>
      <c r="E151" s="17"/>
      <c r="F151" s="17"/>
    </row>
    <row r="152" spans="1:6" ht="39.75" customHeight="1" x14ac:dyDescent="0.45">
      <c r="A152" s="11"/>
      <c r="B152" s="18">
        <v>150</v>
      </c>
      <c r="C152" s="17"/>
      <c r="D152" s="22"/>
      <c r="E152" s="17"/>
      <c r="F152" s="17"/>
    </row>
    <row r="153" spans="1:6" ht="39.75" customHeight="1" x14ac:dyDescent="0.45">
      <c r="A153" s="11"/>
      <c r="B153" s="18">
        <v>151</v>
      </c>
      <c r="C153" s="17"/>
      <c r="D153" s="22"/>
      <c r="E153" s="17"/>
      <c r="F153" s="17"/>
    </row>
    <row r="154" spans="1:6" ht="39.75" customHeight="1" x14ac:dyDescent="0.45">
      <c r="A154" s="11"/>
      <c r="B154" s="18">
        <v>152</v>
      </c>
      <c r="C154" s="17"/>
      <c r="D154" s="22"/>
      <c r="E154" s="17"/>
      <c r="F154" s="17"/>
    </row>
    <row r="155" spans="1:6" ht="39.75" customHeight="1" x14ac:dyDescent="0.45">
      <c r="A155" s="11"/>
      <c r="B155" s="18">
        <v>153</v>
      </c>
      <c r="C155" s="17"/>
      <c r="D155" s="22"/>
      <c r="E155" s="17"/>
      <c r="F155" s="17"/>
    </row>
    <row r="156" spans="1:6" ht="39.75" customHeight="1" x14ac:dyDescent="0.45">
      <c r="A156" s="11"/>
      <c r="B156" s="18">
        <v>154</v>
      </c>
      <c r="C156" s="17"/>
      <c r="D156" s="22"/>
      <c r="E156" s="17"/>
      <c r="F156" s="17"/>
    </row>
    <row r="157" spans="1:6" ht="39.75" customHeight="1" x14ac:dyDescent="0.45">
      <c r="A157" s="11"/>
      <c r="B157" s="18">
        <v>155</v>
      </c>
      <c r="C157" s="17"/>
      <c r="D157" s="22"/>
      <c r="E157" s="17"/>
      <c r="F157" s="17"/>
    </row>
    <row r="158" spans="1:6" ht="39.75" customHeight="1" x14ac:dyDescent="0.45">
      <c r="A158" s="11"/>
      <c r="B158" s="18">
        <v>156</v>
      </c>
      <c r="C158" s="17"/>
      <c r="D158" s="22"/>
      <c r="E158" s="17"/>
      <c r="F158" s="17"/>
    </row>
    <row r="159" spans="1:6" ht="39.75" customHeight="1" x14ac:dyDescent="0.45">
      <c r="A159" s="11"/>
      <c r="B159" s="18">
        <v>157</v>
      </c>
      <c r="C159" s="17"/>
      <c r="D159" s="22"/>
      <c r="E159" s="17"/>
      <c r="F159" s="17"/>
    </row>
    <row r="160" spans="1:6" ht="39.75" customHeight="1" x14ac:dyDescent="0.45">
      <c r="A160" s="11"/>
      <c r="B160" s="18">
        <v>158</v>
      </c>
      <c r="C160" s="17"/>
      <c r="D160" s="22"/>
      <c r="E160" s="17"/>
      <c r="F160" s="17"/>
    </row>
    <row r="161" spans="1:6" ht="39.75" customHeight="1" x14ac:dyDescent="0.45">
      <c r="A161" s="11"/>
      <c r="B161" s="18">
        <v>159</v>
      </c>
      <c r="C161" s="17"/>
      <c r="D161" s="22"/>
      <c r="E161" s="17"/>
      <c r="F161" s="17"/>
    </row>
    <row r="162" spans="1:6" ht="39.75" customHeight="1" x14ac:dyDescent="0.45">
      <c r="A162" s="11"/>
      <c r="B162" s="18">
        <v>160</v>
      </c>
      <c r="C162" s="17"/>
      <c r="D162" s="22"/>
      <c r="E162" s="17"/>
      <c r="F162" s="17"/>
    </row>
    <row r="163" spans="1:6" ht="39.75" customHeight="1" x14ac:dyDescent="0.45">
      <c r="A163" s="11"/>
      <c r="B163" s="18">
        <v>161</v>
      </c>
      <c r="C163" s="17"/>
      <c r="D163" s="22"/>
      <c r="E163" s="17"/>
      <c r="F163" s="17"/>
    </row>
    <row r="164" spans="1:6" ht="39.75" customHeight="1" x14ac:dyDescent="0.45">
      <c r="A164" s="11"/>
      <c r="B164" s="18">
        <v>162</v>
      </c>
      <c r="C164" s="17"/>
      <c r="D164" s="22"/>
      <c r="E164" s="17"/>
      <c r="F164" s="17"/>
    </row>
    <row r="165" spans="1:6" ht="39.75" customHeight="1" x14ac:dyDescent="0.45">
      <c r="A165" s="11"/>
      <c r="B165" s="18">
        <v>163</v>
      </c>
      <c r="C165" s="17"/>
      <c r="D165" s="22"/>
      <c r="E165" s="17"/>
      <c r="F165" s="17"/>
    </row>
    <row r="166" spans="1:6" ht="39.75" customHeight="1" x14ac:dyDescent="0.45">
      <c r="A166" s="11"/>
      <c r="B166" s="18">
        <v>164</v>
      </c>
      <c r="C166" s="17"/>
      <c r="D166" s="22"/>
      <c r="E166" s="17"/>
      <c r="F166" s="17"/>
    </row>
    <row r="167" spans="1:6" ht="39.75" customHeight="1" x14ac:dyDescent="0.45">
      <c r="A167" s="11"/>
      <c r="B167" s="18">
        <v>165</v>
      </c>
      <c r="C167" s="17"/>
      <c r="D167" s="22"/>
      <c r="E167" s="17"/>
      <c r="F167" s="17"/>
    </row>
    <row r="168" spans="1:6" ht="39.75" customHeight="1" x14ac:dyDescent="0.45">
      <c r="A168" s="11"/>
      <c r="B168" s="18">
        <v>166</v>
      </c>
      <c r="C168" s="17"/>
      <c r="D168" s="22"/>
      <c r="E168" s="17"/>
      <c r="F168" s="17"/>
    </row>
    <row r="169" spans="1:6" ht="39.75" customHeight="1" x14ac:dyDescent="0.45">
      <c r="A169" s="11"/>
      <c r="B169" s="18">
        <v>167</v>
      </c>
      <c r="C169" s="17"/>
      <c r="D169" s="22"/>
      <c r="E169" s="17"/>
      <c r="F169" s="17"/>
    </row>
    <row r="170" spans="1:6" ht="39.75" customHeight="1" x14ac:dyDescent="0.45">
      <c r="A170" s="11"/>
      <c r="B170" s="18">
        <v>168</v>
      </c>
      <c r="C170" s="17"/>
      <c r="D170" s="22"/>
      <c r="E170" s="17"/>
      <c r="F170" s="17"/>
    </row>
    <row r="171" spans="1:6" ht="39.75" customHeight="1" x14ac:dyDescent="0.45">
      <c r="A171" s="11"/>
      <c r="B171" s="18">
        <v>169</v>
      </c>
      <c r="C171" s="17"/>
      <c r="D171" s="22"/>
      <c r="E171" s="17"/>
      <c r="F171" s="17"/>
    </row>
    <row r="172" spans="1:6" ht="39.75" customHeight="1" x14ac:dyDescent="0.45">
      <c r="A172" s="11"/>
      <c r="B172" s="18">
        <v>170</v>
      </c>
      <c r="C172" s="17"/>
      <c r="D172" s="22"/>
      <c r="E172" s="17"/>
      <c r="F172" s="17"/>
    </row>
    <row r="173" spans="1:6" ht="39.75" customHeight="1" x14ac:dyDescent="0.45">
      <c r="A173" s="11"/>
      <c r="B173" s="18">
        <v>171</v>
      </c>
      <c r="C173" s="17"/>
      <c r="D173" s="22"/>
      <c r="E173" s="17"/>
      <c r="F173" s="17"/>
    </row>
    <row r="174" spans="1:6" ht="39.75" customHeight="1" x14ac:dyDescent="0.45">
      <c r="A174" s="11"/>
      <c r="B174" s="18">
        <v>172</v>
      </c>
      <c r="C174" s="17"/>
      <c r="D174" s="22"/>
      <c r="E174" s="17"/>
      <c r="F174" s="17"/>
    </row>
    <row r="175" spans="1:6" ht="39.75" customHeight="1" x14ac:dyDescent="0.45">
      <c r="A175" s="11"/>
      <c r="B175" s="18">
        <v>173</v>
      </c>
      <c r="C175" s="17"/>
      <c r="D175" s="22"/>
      <c r="E175" s="17"/>
      <c r="F175" s="17"/>
    </row>
    <row r="176" spans="1:6" ht="39.75" customHeight="1" x14ac:dyDescent="0.45">
      <c r="A176" s="11"/>
      <c r="B176" s="18">
        <v>174</v>
      </c>
      <c r="C176" s="17"/>
      <c r="D176" s="22"/>
      <c r="E176" s="17"/>
      <c r="F176" s="17"/>
    </row>
    <row r="177" spans="1:6" ht="39.75" customHeight="1" x14ac:dyDescent="0.45">
      <c r="A177" s="11"/>
      <c r="B177" s="18">
        <v>175</v>
      </c>
      <c r="C177" s="17"/>
      <c r="D177" s="22"/>
      <c r="E177" s="17"/>
      <c r="F177" s="17"/>
    </row>
    <row r="178" spans="1:6" ht="39.75" customHeight="1" x14ac:dyDescent="0.45">
      <c r="A178" s="11"/>
      <c r="B178" s="18">
        <v>176</v>
      </c>
      <c r="C178" s="17"/>
      <c r="D178" s="22"/>
      <c r="E178" s="17"/>
      <c r="F178" s="17"/>
    </row>
    <row r="179" spans="1:6" ht="39.75" customHeight="1" x14ac:dyDescent="0.45">
      <c r="A179" s="11"/>
      <c r="B179" s="18">
        <v>177</v>
      </c>
      <c r="C179" s="17"/>
      <c r="D179" s="22"/>
      <c r="E179" s="17"/>
      <c r="F179" s="17"/>
    </row>
    <row r="180" spans="1:6" ht="39.75" customHeight="1" x14ac:dyDescent="0.45">
      <c r="A180" s="11"/>
      <c r="B180" s="18">
        <v>178</v>
      </c>
      <c r="C180" s="17"/>
      <c r="D180" s="22"/>
      <c r="E180" s="17"/>
      <c r="F180" s="17"/>
    </row>
    <row r="181" spans="1:6" ht="39.75" customHeight="1" x14ac:dyDescent="0.45">
      <c r="A181" s="11"/>
      <c r="B181" s="18">
        <v>179</v>
      </c>
      <c r="C181" s="17"/>
      <c r="D181" s="22"/>
      <c r="E181" s="17"/>
      <c r="F181" s="17"/>
    </row>
    <row r="182" spans="1:6" ht="39.75" customHeight="1" x14ac:dyDescent="0.45">
      <c r="A182" s="11"/>
      <c r="B182" s="18">
        <v>180</v>
      </c>
      <c r="C182" s="17"/>
      <c r="D182" s="22"/>
      <c r="E182" s="17"/>
      <c r="F182" s="17"/>
    </row>
    <row r="183" spans="1:6" ht="39.75" customHeight="1" x14ac:dyDescent="0.45">
      <c r="A183" s="11"/>
      <c r="B183" s="18">
        <v>181</v>
      </c>
      <c r="C183" s="17"/>
      <c r="D183" s="22"/>
      <c r="E183" s="17"/>
      <c r="F183" s="17"/>
    </row>
    <row r="184" spans="1:6" ht="39.75" customHeight="1" x14ac:dyDescent="0.45">
      <c r="A184" s="11"/>
      <c r="B184" s="18">
        <v>182</v>
      </c>
      <c r="C184" s="17"/>
      <c r="D184" s="22"/>
      <c r="E184" s="17"/>
      <c r="F184" s="17"/>
    </row>
    <row r="185" spans="1:6" ht="39.75" customHeight="1" x14ac:dyDescent="0.45">
      <c r="A185" s="11"/>
      <c r="B185" s="18">
        <v>183</v>
      </c>
      <c r="C185" s="17"/>
      <c r="D185" s="22"/>
      <c r="E185" s="17"/>
      <c r="F185" s="17"/>
    </row>
    <row r="186" spans="1:6" ht="39.75" customHeight="1" x14ac:dyDescent="0.45">
      <c r="A186" s="11"/>
      <c r="B186" s="18">
        <v>184</v>
      </c>
      <c r="C186" s="17"/>
      <c r="D186" s="22"/>
      <c r="E186" s="17"/>
      <c r="F186" s="17"/>
    </row>
    <row r="187" spans="1:6" ht="39.75" customHeight="1" x14ac:dyDescent="0.45">
      <c r="A187" s="11"/>
      <c r="B187" s="18">
        <v>185</v>
      </c>
      <c r="C187" s="17"/>
      <c r="D187" s="22"/>
      <c r="E187" s="17"/>
      <c r="F187" s="17"/>
    </row>
    <row r="188" spans="1:6" ht="39.75" customHeight="1" x14ac:dyDescent="0.45">
      <c r="A188" s="11"/>
      <c r="B188" s="18">
        <v>186</v>
      </c>
      <c r="C188" s="17"/>
      <c r="D188" s="22"/>
      <c r="E188" s="17"/>
      <c r="F188" s="17"/>
    </row>
    <row r="189" spans="1:6" ht="39.75" customHeight="1" x14ac:dyDescent="0.45">
      <c r="A189" s="11"/>
      <c r="B189" s="18">
        <v>187</v>
      </c>
      <c r="C189" s="17"/>
      <c r="D189" s="22"/>
      <c r="E189" s="17"/>
      <c r="F189" s="17"/>
    </row>
    <row r="190" spans="1:6" ht="39.75" customHeight="1" x14ac:dyDescent="0.45">
      <c r="A190" s="11"/>
      <c r="B190" s="18">
        <v>188</v>
      </c>
      <c r="C190" s="17"/>
      <c r="D190" s="22"/>
      <c r="E190" s="17"/>
      <c r="F190" s="17"/>
    </row>
    <row r="191" spans="1:6" ht="39.75" customHeight="1" x14ac:dyDescent="0.45">
      <c r="A191" s="11"/>
      <c r="B191" s="18">
        <v>189</v>
      </c>
      <c r="C191" s="17"/>
      <c r="D191" s="22"/>
      <c r="E191" s="17"/>
      <c r="F191" s="17"/>
    </row>
    <row r="192" spans="1:6" ht="39.75" customHeight="1" x14ac:dyDescent="0.45">
      <c r="A192" s="11"/>
      <c r="B192" s="18">
        <v>190</v>
      </c>
      <c r="C192" s="17"/>
      <c r="D192" s="22"/>
      <c r="E192" s="17"/>
      <c r="F192" s="17"/>
    </row>
    <row r="193" spans="1:6" ht="39.75" customHeight="1" x14ac:dyDescent="0.45">
      <c r="A193" s="11"/>
      <c r="B193" s="18">
        <v>191</v>
      </c>
      <c r="C193" s="17"/>
      <c r="D193" s="22"/>
      <c r="E193" s="17"/>
      <c r="F193" s="17"/>
    </row>
    <row r="194" spans="1:6" ht="39.75" customHeight="1" x14ac:dyDescent="0.45">
      <c r="A194" s="11"/>
      <c r="B194" s="18">
        <v>192</v>
      </c>
      <c r="C194" s="17"/>
      <c r="D194" s="22"/>
      <c r="E194" s="17"/>
      <c r="F194" s="17"/>
    </row>
    <row r="195" spans="1:6" ht="39.75" customHeight="1" x14ac:dyDescent="0.45">
      <c r="A195" s="11"/>
      <c r="B195" s="18">
        <v>193</v>
      </c>
      <c r="C195" s="17"/>
      <c r="D195" s="22"/>
      <c r="E195" s="17"/>
      <c r="F195" s="17"/>
    </row>
    <row r="196" spans="1:6" ht="39.75" customHeight="1" x14ac:dyDescent="0.45">
      <c r="A196" s="11"/>
      <c r="B196" s="18">
        <v>194</v>
      </c>
      <c r="C196" s="17"/>
      <c r="D196" s="22"/>
      <c r="E196" s="17"/>
      <c r="F196" s="17"/>
    </row>
    <row r="197" spans="1:6" ht="39.75" customHeight="1" x14ac:dyDescent="0.45">
      <c r="A197" s="11"/>
      <c r="B197" s="18">
        <v>195</v>
      </c>
      <c r="C197" s="17"/>
      <c r="D197" s="22"/>
      <c r="E197" s="17"/>
      <c r="F197" s="17"/>
    </row>
    <row r="198" spans="1:6" ht="39.75" customHeight="1" x14ac:dyDescent="0.45">
      <c r="A198" s="11"/>
      <c r="B198" s="18">
        <v>196</v>
      </c>
      <c r="C198" s="17"/>
      <c r="D198" s="22"/>
      <c r="E198" s="17"/>
      <c r="F198" s="17"/>
    </row>
    <row r="199" spans="1:6" ht="39.75" customHeight="1" x14ac:dyDescent="0.45">
      <c r="A199" s="11"/>
      <c r="B199" s="18">
        <v>197</v>
      </c>
      <c r="C199" s="17"/>
      <c r="D199" s="22"/>
      <c r="E199" s="17"/>
      <c r="F199" s="17"/>
    </row>
    <row r="200" spans="1:6" ht="39.75" customHeight="1" x14ac:dyDescent="0.45">
      <c r="A200" s="11"/>
      <c r="B200" s="18">
        <v>198</v>
      </c>
      <c r="C200" s="17"/>
      <c r="D200" s="22"/>
      <c r="E200" s="17"/>
      <c r="F200" s="17"/>
    </row>
    <row r="201" spans="1:6" ht="39.75" customHeight="1" x14ac:dyDescent="0.45">
      <c r="A201" s="11"/>
      <c r="B201" s="18">
        <v>199</v>
      </c>
      <c r="C201" s="17"/>
      <c r="D201" s="22"/>
      <c r="E201" s="17"/>
      <c r="F201" s="17"/>
    </row>
    <row r="202" spans="1:6" ht="39.75" customHeight="1" x14ac:dyDescent="0.45">
      <c r="A202" s="11"/>
      <c r="B202" s="18">
        <v>200</v>
      </c>
      <c r="C202" s="17"/>
      <c r="D202" s="22"/>
      <c r="E202" s="17"/>
      <c r="F202" s="17"/>
    </row>
  </sheetData>
  <protectedRanges>
    <protectedRange sqref="A11" name="ResultsSort"/>
  </protectedRanges>
  <mergeCells count="1">
    <mergeCell ref="C1:F1"/>
  </mergeCell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076DA-3617-4CD8-9327-A8A643CB5BE9}">
  <sheetPr>
    <tabColor rgb="FFFFFF00"/>
  </sheetPr>
  <dimension ref="A1:Z202"/>
  <sheetViews>
    <sheetView showGridLines="0" zoomScaleNormal="100" workbookViewId="0">
      <pane xSplit="2" ySplit="2" topLeftCell="C3" activePane="bottomRight" state="frozen"/>
      <selection pane="topRight" activeCell="C1" sqref="C1"/>
      <selection pane="bottomLeft" activeCell="A3" sqref="A3"/>
      <selection pane="bottomRight" sqref="A1:B1"/>
    </sheetView>
  </sheetViews>
  <sheetFormatPr defaultRowHeight="14.25" outlineLevelCol="1" x14ac:dyDescent="0.45"/>
  <cols>
    <col min="1" max="1" width="15.53125" customWidth="1"/>
    <col min="2" max="2" width="32.33203125" customWidth="1"/>
    <col min="3" max="5" width="6.53125" customWidth="1"/>
    <col min="6" max="7" width="6.53125" hidden="1" customWidth="1" outlineLevel="1"/>
    <col min="8" max="8" width="7.6640625" bestFit="1" customWidth="1" collapsed="1"/>
    <col min="9" max="12" width="10.46484375" customWidth="1"/>
    <col min="13" max="14" width="15.46484375" customWidth="1"/>
    <col min="15" max="17" width="6.53125" customWidth="1"/>
    <col min="18" max="18" width="26.33203125" customWidth="1"/>
    <col min="19" max="20" width="8.46484375" customWidth="1"/>
    <col min="21" max="25" width="8.46484375" hidden="1" customWidth="1" outlineLevel="1"/>
    <col min="26" max="26" width="80.33203125" customWidth="1" collapsed="1"/>
  </cols>
  <sheetData>
    <row r="1" spans="1:26" ht="39.6" customHeight="1" x14ac:dyDescent="0.45">
      <c r="A1" s="110" t="s">
        <v>38</v>
      </c>
      <c r="B1" s="110"/>
      <c r="C1" s="110" t="s">
        <v>39</v>
      </c>
      <c r="D1" s="110"/>
      <c r="E1" s="110"/>
      <c r="F1" s="110"/>
      <c r="G1" s="110"/>
      <c r="H1" s="110"/>
      <c r="I1" s="110"/>
      <c r="J1" s="110" t="s">
        <v>40</v>
      </c>
      <c r="K1" s="110"/>
      <c r="L1" s="110"/>
      <c r="M1" s="110" t="s">
        <v>41</v>
      </c>
      <c r="N1" s="110"/>
      <c r="O1" s="110"/>
      <c r="P1" s="110"/>
      <c r="Q1" s="110"/>
      <c r="R1" s="110" t="s">
        <v>42</v>
      </c>
      <c r="S1" s="110"/>
      <c r="T1" s="110"/>
      <c r="U1" s="110" t="s">
        <v>43</v>
      </c>
      <c r="V1" s="110"/>
      <c r="W1" s="110"/>
      <c r="X1" s="110"/>
      <c r="Y1" s="110"/>
      <c r="Z1" s="45" t="s">
        <v>44</v>
      </c>
    </row>
    <row r="2" spans="1:26" ht="118.25" customHeight="1" x14ac:dyDescent="0.45">
      <c r="A2" s="46" t="s">
        <v>23</v>
      </c>
      <c r="B2" s="46" t="s">
        <v>24</v>
      </c>
      <c r="C2" s="47" t="s">
        <v>45</v>
      </c>
      <c r="D2" s="47" t="s">
        <v>46</v>
      </c>
      <c r="E2" s="47" t="s">
        <v>47</v>
      </c>
      <c r="F2" s="47" t="s">
        <v>48</v>
      </c>
      <c r="G2" s="47" t="s">
        <v>49</v>
      </c>
      <c r="H2" s="47" t="s">
        <v>50</v>
      </c>
      <c r="I2" s="48" t="s">
        <v>51</v>
      </c>
      <c r="J2" s="49" t="s">
        <v>52</v>
      </c>
      <c r="K2" s="50" t="s">
        <v>53</v>
      </c>
      <c r="L2" s="51" t="s">
        <v>54</v>
      </c>
      <c r="M2" s="52" t="s">
        <v>55</v>
      </c>
      <c r="N2" s="53" t="s">
        <v>56</v>
      </c>
      <c r="O2" s="54" t="s">
        <v>35</v>
      </c>
      <c r="P2" s="54" t="s">
        <v>36</v>
      </c>
      <c r="Q2" s="54" t="s">
        <v>37</v>
      </c>
      <c r="R2" s="55" t="s">
        <v>57</v>
      </c>
      <c r="S2" s="55" t="s">
        <v>58</v>
      </c>
      <c r="T2" s="55" t="s">
        <v>59</v>
      </c>
      <c r="U2" s="56" t="s">
        <v>60</v>
      </c>
      <c r="V2" s="57" t="s">
        <v>61</v>
      </c>
      <c r="W2" s="58" t="s">
        <v>62</v>
      </c>
      <c r="X2" s="59" t="s">
        <v>63</v>
      </c>
      <c r="Y2" s="60" t="s">
        <v>64</v>
      </c>
      <c r="Z2" s="61" t="s">
        <v>44</v>
      </c>
    </row>
    <row r="3" spans="1:26" ht="21" customHeight="1" x14ac:dyDescent="0.45">
      <c r="A3">
        <f>_xlfn.XLOOKUP(1,OfficialTeamList[Row],OfficialTeamList[Team Number],"ERROR",0)</f>
        <v>0</v>
      </c>
      <c r="B3" s="62" t="str">
        <f>_xlfn.XLOOKUP(TournamentData[[#This Row],[Team Number]],OfficialTeamList[Team Number],OfficialTeamList[Team Name],"",0,)</f>
        <v/>
      </c>
      <c r="C3" s="63">
        <f>IF(TournamentData[[#This Row],[Team Number]]="","",_xlfn.XLOOKUP(TournamentData[[#This Row],[Team Number]],RobotGameScores[Team Number],RobotGameScores[Robot Game 1 Score],0,0,))</f>
        <v>0</v>
      </c>
      <c r="D3" s="63">
        <f>IF(TournamentData[[#This Row],[Team Number]]="","",_xlfn.XLOOKUP(TournamentData[[#This Row],[Team Number]],RobotGameScores[Team Number],RobotGameScores[Robot Game 2 Score],0,0,))</f>
        <v>0</v>
      </c>
      <c r="E3" s="63">
        <f>IF(TournamentData[[#This Row],[Team Number]]="","",_xlfn.XLOOKUP(TournamentData[[#This Row],[Team Number]],RobotGameScores[Team Number],RobotGameScores[Robot Game 3 Score],0,0,))</f>
        <v>0</v>
      </c>
      <c r="F3" s="63">
        <f>IF(TournamentData[[#This Row],[Team Number]]="","",_xlfn.XLOOKUP(TournamentData[[#This Row],[Team Number]],RobotGameScores[Team Number],RobotGameScores[Robot Game 4 Score],0,0,))</f>
        <v>0</v>
      </c>
      <c r="G3" s="63">
        <f>IF(TournamentData[[#This Row],[Team Number]]="","",_xlfn.XLOOKUP(TournamentData[[#This Row],[Team Number]],RobotGameScores[Team Number],RobotGameScores[Robot Game 5 Score],0,0,))</f>
        <v>0</v>
      </c>
      <c r="H3"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3" s="63">
        <f>IF(TournamentData[[#This Row],[Team Number]]="","",_xlfn.RANK.EQ(TournamentData[[#This Row],[Max Robot Game Score]],TournamentData[Max Robot Game Score]))</f>
        <v>1</v>
      </c>
      <c r="J3" s="63">
        <f>IF(TournamentData[[#This Row],[Team Number]]="","",_xlfn.XLOOKUP(TournamentData[[#This Row],[Team Number]],CoreValuesResults[Team Number],CoreValuesResults[Core Values Rank],NumberOfTeams+1,0,))</f>
        <v>1</v>
      </c>
      <c r="K3" s="63">
        <f>IF(TournamentData[[#This Row],[Team Number]]="","",_xlfn.XLOOKUP(TournamentData[[#This Row],[Team Number]],InnovationProjectResults[Team Number],InnovationProjectResults[Innovation Project Rank],NumberOfTeams+1,0,))</f>
        <v>1</v>
      </c>
      <c r="L3" s="63">
        <f>IF(TournamentData[[#This Row],[Team Number]]="","",_xlfn.XLOOKUP(TournamentData[[#This Row],[Team Number]],RobotDesignResults[Team Number],RobotDesignResults[Robot Design Rank],NumberOfTeams+1,0,))</f>
        <v>1</v>
      </c>
      <c r="M3"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3" s="64">
        <f>IF(TournamentData[[#This Row],[Team Number]]="","",IF(M3,RANK(M3,M$3:M$202,1)-COUNTIF(M$3:M$202,0),NumberOfTeams+1))</f>
        <v>1</v>
      </c>
      <c r="O3" s="65">
        <f>_xlfn.XLOOKUP(TournamentData[[#This Row],[Team Number]],CoreValuesResults[Team Number],CoreValuesResults[Breakthrough Selection],0,0,)</f>
        <v>0</v>
      </c>
      <c r="P3" s="65">
        <f>_xlfn.XLOOKUP(TournamentData[[#This Row],[Team Number]],CoreValuesResults[Team Number],CoreValuesResults[Rising All-Star Selection],0,0,)</f>
        <v>0</v>
      </c>
      <c r="Q3" s="65">
        <f>_xlfn.XLOOKUP(TournamentData[[#This Row],[Team Number]],CoreValuesResults[Team Number],CoreValuesResults[Motivate Selection],0,0,)</f>
        <v>0</v>
      </c>
      <c r="R3" s="66"/>
      <c r="S3" s="66"/>
      <c r="T3" s="67"/>
      <c r="U3" s="63">
        <f>_xlfn.XLOOKUP(TournamentData[[#This Row],[Team Number]],CoreValuesResults[Team Number],CoreValuesResults[Core Values Score],0,0,)</f>
        <v>0</v>
      </c>
      <c r="V3" s="63">
        <f>_xlfn.XLOOKUP(TournamentData[[#This Row],[Team Number]],InnovationProjectResults[Team Number],InnovationProjectResults[Innovation Project Score],0,0,)</f>
        <v>0</v>
      </c>
      <c r="W3" s="63">
        <f>_xlfn.XLOOKUP(TournamentData[[#This Row],[Team Number]],RobotDesignResults[Team Number],RobotDesignResults[Robot Design Score],0,0,)</f>
        <v>0</v>
      </c>
      <c r="X3"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3" s="69">
        <f t="shared" ref="Y3:Y34" si="0">IF(X3,_xlfn.RANK.EQ(X3,X$3:X$110,0),NumberOfTeams)</f>
        <v>0</v>
      </c>
      <c r="Z3" s="66"/>
    </row>
    <row r="4" spans="1:26" ht="21" customHeight="1" x14ac:dyDescent="0.45">
      <c r="A4">
        <f>_xlfn.XLOOKUP(2,OfficialTeamList[Row],OfficialTeamList[Team Number],"ERROR",0)</f>
        <v>0</v>
      </c>
      <c r="B4" s="62" t="str">
        <f>_xlfn.XLOOKUP(TournamentData[[#This Row],[Team Number]],OfficialTeamList[Team Number],OfficialTeamList[Team Name],"",0,)</f>
        <v/>
      </c>
      <c r="C4" s="63">
        <f>IF(TournamentData[[#This Row],[Team Number]]="","",_xlfn.XLOOKUP(TournamentData[[#This Row],[Team Number]],RobotGameScores[Team Number],RobotGameScores[Robot Game 1 Score],0,0,))</f>
        <v>0</v>
      </c>
      <c r="D4" s="63">
        <f>IF(TournamentData[[#This Row],[Team Number]]="","",_xlfn.XLOOKUP(TournamentData[[#This Row],[Team Number]],RobotGameScores[Team Number],RobotGameScores[Robot Game 2 Score],0,0,))</f>
        <v>0</v>
      </c>
      <c r="E4" s="63">
        <f>IF(TournamentData[[#This Row],[Team Number]]="","",_xlfn.XLOOKUP(TournamentData[[#This Row],[Team Number]],RobotGameScores[Team Number],RobotGameScores[Robot Game 3 Score],0,0,))</f>
        <v>0</v>
      </c>
      <c r="F4" s="63">
        <f>IF(TournamentData[[#This Row],[Team Number]]="","",_xlfn.XLOOKUP(TournamentData[[#This Row],[Team Number]],RobotGameScores[Team Number],RobotGameScores[Robot Game 4 Score],0,0,))</f>
        <v>0</v>
      </c>
      <c r="G4" s="63">
        <f>IF(TournamentData[[#This Row],[Team Number]]="","",_xlfn.XLOOKUP(TournamentData[[#This Row],[Team Number]],RobotGameScores[Team Number],RobotGameScores[Robot Game 5 Score],0,0,))</f>
        <v>0</v>
      </c>
      <c r="H4"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4" s="63">
        <f>IF(TournamentData[[#This Row],[Team Number]]="","",_xlfn.RANK.EQ(TournamentData[[#This Row],[Max Robot Game Score]],TournamentData[Max Robot Game Score]))</f>
        <v>1</v>
      </c>
      <c r="J4" s="63">
        <f>IF(TournamentData[[#This Row],[Team Number]]="","",_xlfn.XLOOKUP(TournamentData[[#This Row],[Team Number]],CoreValuesResults[Team Number],CoreValuesResults[Core Values Rank],NumberOfTeams+1,0,))</f>
        <v>1</v>
      </c>
      <c r="K4" s="63">
        <f>IF(TournamentData[[#This Row],[Team Number]]="","",_xlfn.XLOOKUP(TournamentData[[#This Row],[Team Number]],InnovationProjectResults[Team Number],InnovationProjectResults[Innovation Project Rank],NumberOfTeams+1,0,))</f>
        <v>1</v>
      </c>
      <c r="L4" s="63">
        <f>IF(TournamentData[[#This Row],[Team Number]]="","",_xlfn.XLOOKUP(TournamentData[[#This Row],[Team Number]],RobotDesignResults[Team Number],RobotDesignResults[Robot Design Rank],NumberOfTeams+1,0,))</f>
        <v>1</v>
      </c>
      <c r="M4"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4" s="64">
        <f>IF(TournamentData[[#This Row],[Team Number]]="","",IF(M4,RANK(M4,M$3:M$202,1)-COUNTIF(M$3:M$202,0),NumberOfTeams+1))</f>
        <v>1</v>
      </c>
      <c r="O4" s="65">
        <f>_xlfn.XLOOKUP(TournamentData[[#This Row],[Team Number]],CoreValuesResults[Team Number],CoreValuesResults[Breakthrough Selection],0,0,)</f>
        <v>0</v>
      </c>
      <c r="P4" s="65">
        <f>_xlfn.XLOOKUP(TournamentData[[#This Row],[Team Number]],CoreValuesResults[Team Number],CoreValuesResults[Rising All-Star Selection],0,0,)</f>
        <v>0</v>
      </c>
      <c r="Q4" s="65">
        <f>_xlfn.XLOOKUP(TournamentData[[#This Row],[Team Number]],CoreValuesResults[Team Number],CoreValuesResults[Motivate Selection],0,0,)</f>
        <v>0</v>
      </c>
      <c r="R4" s="66"/>
      <c r="S4" s="66"/>
      <c r="T4" s="67"/>
      <c r="U4" s="63">
        <f>_xlfn.XLOOKUP(TournamentData[[#This Row],[Team Number]],CoreValuesResults[Team Number],CoreValuesResults[Core Values Score],0,0,)</f>
        <v>0</v>
      </c>
      <c r="V4" s="63">
        <f>_xlfn.XLOOKUP(TournamentData[[#This Row],[Team Number]],InnovationProjectResults[Team Number],InnovationProjectResults[Innovation Project Score],0,0,)</f>
        <v>0</v>
      </c>
      <c r="W4" s="63">
        <f>_xlfn.XLOOKUP(TournamentData[[#This Row],[Team Number]],RobotDesignResults[Team Number],RobotDesignResults[Robot Design Score],0,0,)</f>
        <v>0</v>
      </c>
      <c r="X4"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4" s="69">
        <f t="shared" si="0"/>
        <v>0</v>
      </c>
      <c r="Z4" s="66"/>
    </row>
    <row r="5" spans="1:26" ht="21" customHeight="1" x14ac:dyDescent="0.45">
      <c r="A5">
        <f>_xlfn.XLOOKUP(3,OfficialTeamList[Row],OfficialTeamList[Team Number],"ERROR",0)</f>
        <v>0</v>
      </c>
      <c r="B5" s="62" t="str">
        <f>_xlfn.XLOOKUP(TournamentData[[#This Row],[Team Number]],OfficialTeamList[Team Number],OfficialTeamList[Team Name],"",0,)</f>
        <v/>
      </c>
      <c r="C5" s="63">
        <f>IF(TournamentData[[#This Row],[Team Number]]="","",_xlfn.XLOOKUP(TournamentData[[#This Row],[Team Number]],RobotGameScores[Team Number],RobotGameScores[Robot Game 1 Score],0,0,))</f>
        <v>0</v>
      </c>
      <c r="D5" s="63">
        <f>IF(TournamentData[[#This Row],[Team Number]]="","",_xlfn.XLOOKUP(TournamentData[[#This Row],[Team Number]],RobotGameScores[Team Number],RobotGameScores[Robot Game 2 Score],0,0,))</f>
        <v>0</v>
      </c>
      <c r="E5" s="63">
        <f>IF(TournamentData[[#This Row],[Team Number]]="","",_xlfn.XLOOKUP(TournamentData[[#This Row],[Team Number]],RobotGameScores[Team Number],RobotGameScores[Robot Game 3 Score],0,0,))</f>
        <v>0</v>
      </c>
      <c r="F5" s="63">
        <f>IF(TournamentData[[#This Row],[Team Number]]="","",_xlfn.XLOOKUP(TournamentData[[#This Row],[Team Number]],RobotGameScores[Team Number],RobotGameScores[Robot Game 4 Score],0,0,))</f>
        <v>0</v>
      </c>
      <c r="G5" s="63">
        <f>IF(TournamentData[[#This Row],[Team Number]]="","",_xlfn.XLOOKUP(TournamentData[[#This Row],[Team Number]],RobotGameScores[Team Number],RobotGameScores[Robot Game 5 Score],0,0,))</f>
        <v>0</v>
      </c>
      <c r="H5"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5" s="63">
        <f>IF(TournamentData[[#This Row],[Team Number]]="","",_xlfn.RANK.EQ(TournamentData[[#This Row],[Max Robot Game Score]],TournamentData[Max Robot Game Score]))</f>
        <v>1</v>
      </c>
      <c r="J5" s="63">
        <f>IF(TournamentData[[#This Row],[Team Number]]="","",_xlfn.XLOOKUP(TournamentData[[#This Row],[Team Number]],CoreValuesResults[Team Number],CoreValuesResults[Core Values Rank],NumberOfTeams+1,0,))</f>
        <v>1</v>
      </c>
      <c r="K5" s="63">
        <f>IF(TournamentData[[#This Row],[Team Number]]="","",_xlfn.XLOOKUP(TournamentData[[#This Row],[Team Number]],InnovationProjectResults[Team Number],InnovationProjectResults[Innovation Project Rank],NumberOfTeams+1,0,))</f>
        <v>1</v>
      </c>
      <c r="L5" s="63">
        <f>IF(TournamentData[[#This Row],[Team Number]]="","",_xlfn.XLOOKUP(TournamentData[[#This Row],[Team Number]],RobotDesignResults[Team Number],RobotDesignResults[Robot Design Rank],NumberOfTeams+1,0,))</f>
        <v>1</v>
      </c>
      <c r="M5"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5" s="64">
        <f>IF(TournamentData[[#This Row],[Team Number]]="","",IF(M5,RANK(M5,M$3:M$202,1)-COUNTIF(M$3:M$202,0),NumberOfTeams+1))</f>
        <v>1</v>
      </c>
      <c r="O5" s="65">
        <f>_xlfn.XLOOKUP(TournamentData[[#This Row],[Team Number]],CoreValuesResults[Team Number],CoreValuesResults[Breakthrough Selection],0,0,)</f>
        <v>0</v>
      </c>
      <c r="P5" s="65">
        <f>_xlfn.XLOOKUP(TournamentData[[#This Row],[Team Number]],CoreValuesResults[Team Number],CoreValuesResults[Rising All-Star Selection],0,0,)</f>
        <v>0</v>
      </c>
      <c r="Q5" s="65">
        <f>_xlfn.XLOOKUP(TournamentData[[#This Row],[Team Number]],CoreValuesResults[Team Number],CoreValuesResults[Motivate Selection],0,0,)</f>
        <v>0</v>
      </c>
      <c r="R5" s="66"/>
      <c r="S5" s="66"/>
      <c r="T5" s="67"/>
      <c r="U5" s="63">
        <f>_xlfn.XLOOKUP(TournamentData[[#This Row],[Team Number]],CoreValuesResults[Team Number],CoreValuesResults[Core Values Score],0,0,)</f>
        <v>0</v>
      </c>
      <c r="V5" s="63">
        <f>_xlfn.XLOOKUP(TournamentData[[#This Row],[Team Number]],InnovationProjectResults[Team Number],InnovationProjectResults[Innovation Project Score],0,0,)</f>
        <v>0</v>
      </c>
      <c r="W5" s="63">
        <f>_xlfn.XLOOKUP(TournamentData[[#This Row],[Team Number]],RobotDesignResults[Team Number],RobotDesignResults[Robot Design Score],0,0,)</f>
        <v>0</v>
      </c>
      <c r="X5"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5" s="69">
        <f t="shared" si="0"/>
        <v>0</v>
      </c>
      <c r="Z5" s="66"/>
    </row>
    <row r="6" spans="1:26" ht="21" customHeight="1" x14ac:dyDescent="0.45">
      <c r="A6">
        <f>_xlfn.XLOOKUP(4,OfficialTeamList[Row],OfficialTeamList[Team Number],"ERROR",0)</f>
        <v>0</v>
      </c>
      <c r="B6" s="62" t="str">
        <f>_xlfn.XLOOKUP(TournamentData[[#This Row],[Team Number]],OfficialTeamList[Team Number],OfficialTeamList[Team Name],"",0,)</f>
        <v/>
      </c>
      <c r="C6" s="63">
        <f>IF(TournamentData[[#This Row],[Team Number]]="","",_xlfn.XLOOKUP(TournamentData[[#This Row],[Team Number]],RobotGameScores[Team Number],RobotGameScores[Robot Game 1 Score],0,0,))</f>
        <v>0</v>
      </c>
      <c r="D6" s="63">
        <f>IF(TournamentData[[#This Row],[Team Number]]="","",_xlfn.XLOOKUP(TournamentData[[#This Row],[Team Number]],RobotGameScores[Team Number],RobotGameScores[Robot Game 2 Score],0,0,))</f>
        <v>0</v>
      </c>
      <c r="E6" s="63">
        <f>IF(TournamentData[[#This Row],[Team Number]]="","",_xlfn.XLOOKUP(TournamentData[[#This Row],[Team Number]],RobotGameScores[Team Number],RobotGameScores[Robot Game 3 Score],0,0,))</f>
        <v>0</v>
      </c>
      <c r="F6" s="63">
        <f>IF(TournamentData[[#This Row],[Team Number]]="","",_xlfn.XLOOKUP(TournamentData[[#This Row],[Team Number]],RobotGameScores[Team Number],RobotGameScores[Robot Game 4 Score],0,0,))</f>
        <v>0</v>
      </c>
      <c r="G6" s="63">
        <f>IF(TournamentData[[#This Row],[Team Number]]="","",_xlfn.XLOOKUP(TournamentData[[#This Row],[Team Number]],RobotGameScores[Team Number],RobotGameScores[Robot Game 5 Score],0,0,))</f>
        <v>0</v>
      </c>
      <c r="H6"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6" s="63">
        <f>IF(TournamentData[[#This Row],[Team Number]]="","",_xlfn.RANK.EQ(TournamentData[[#This Row],[Max Robot Game Score]],TournamentData[Max Robot Game Score]))</f>
        <v>1</v>
      </c>
      <c r="J6" s="63">
        <f>IF(TournamentData[[#This Row],[Team Number]]="","",_xlfn.XLOOKUP(TournamentData[[#This Row],[Team Number]],CoreValuesResults[Team Number],CoreValuesResults[Core Values Rank],NumberOfTeams+1,0,))</f>
        <v>1</v>
      </c>
      <c r="K6" s="63">
        <f>IF(TournamentData[[#This Row],[Team Number]]="","",_xlfn.XLOOKUP(TournamentData[[#This Row],[Team Number]],InnovationProjectResults[Team Number],InnovationProjectResults[Innovation Project Rank],NumberOfTeams+1,0,))</f>
        <v>1</v>
      </c>
      <c r="L6" s="63">
        <f>IF(TournamentData[[#This Row],[Team Number]]="","",_xlfn.XLOOKUP(TournamentData[[#This Row],[Team Number]],RobotDesignResults[Team Number],RobotDesignResults[Robot Design Rank],NumberOfTeams+1,0,))</f>
        <v>1</v>
      </c>
      <c r="M6"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6" s="64">
        <f>IF(TournamentData[[#This Row],[Team Number]]="","",IF(M6,RANK(M6,M$3:M$202,1)-COUNTIF(M$3:M$202,0),NumberOfTeams+1))</f>
        <v>1</v>
      </c>
      <c r="O6" s="70">
        <f>_xlfn.XLOOKUP(TournamentData[[#This Row],[Team Number]],CoreValuesResults[Team Number],CoreValuesResults[Breakthrough Selection],0,0,)</f>
        <v>0</v>
      </c>
      <c r="P6" s="70">
        <f>_xlfn.XLOOKUP(TournamentData[[#This Row],[Team Number]],CoreValuesResults[Team Number],CoreValuesResults[Rising All-Star Selection],0,0,)</f>
        <v>0</v>
      </c>
      <c r="Q6" s="70">
        <f>_xlfn.XLOOKUP(TournamentData[[#This Row],[Team Number]],CoreValuesResults[Team Number],CoreValuesResults[Motivate Selection],0,0,)</f>
        <v>0</v>
      </c>
      <c r="R6" s="66"/>
      <c r="S6" s="66"/>
      <c r="T6" s="67"/>
      <c r="U6" s="63">
        <f>_xlfn.XLOOKUP(TournamentData[[#This Row],[Team Number]],CoreValuesResults[Team Number],CoreValuesResults[Core Values Score],0,0,)</f>
        <v>0</v>
      </c>
      <c r="V6" s="63">
        <f>_xlfn.XLOOKUP(TournamentData[[#This Row],[Team Number]],InnovationProjectResults[Team Number],InnovationProjectResults[Innovation Project Score],0,0,)</f>
        <v>0</v>
      </c>
      <c r="W6" s="63">
        <f>_xlfn.XLOOKUP(TournamentData[[#This Row],[Team Number]],RobotDesignResults[Team Number],RobotDesignResults[Robot Design Score],0,0,)</f>
        <v>0</v>
      </c>
      <c r="X6"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6" s="69">
        <f t="shared" si="0"/>
        <v>0</v>
      </c>
      <c r="Z6" s="66"/>
    </row>
    <row r="7" spans="1:26" ht="21" customHeight="1" x14ac:dyDescent="0.45">
      <c r="A7">
        <f>_xlfn.XLOOKUP(5,OfficialTeamList[Row],OfficialTeamList[Team Number],"ERROR",0)</f>
        <v>0</v>
      </c>
      <c r="B7" s="62" t="str">
        <f>_xlfn.XLOOKUP(TournamentData[[#This Row],[Team Number]],OfficialTeamList[Team Number],OfficialTeamList[Team Name],"",0,)</f>
        <v/>
      </c>
      <c r="C7" s="63">
        <f>IF(TournamentData[[#This Row],[Team Number]]="","",_xlfn.XLOOKUP(TournamentData[[#This Row],[Team Number]],RobotGameScores[Team Number],RobotGameScores[Robot Game 1 Score],0,0,))</f>
        <v>0</v>
      </c>
      <c r="D7" s="63">
        <f>IF(TournamentData[[#This Row],[Team Number]]="","",_xlfn.XLOOKUP(TournamentData[[#This Row],[Team Number]],RobotGameScores[Team Number],RobotGameScores[Robot Game 2 Score],0,0,))</f>
        <v>0</v>
      </c>
      <c r="E7" s="63">
        <f>IF(TournamentData[[#This Row],[Team Number]]="","",_xlfn.XLOOKUP(TournamentData[[#This Row],[Team Number]],RobotGameScores[Team Number],RobotGameScores[Robot Game 3 Score],0,0,))</f>
        <v>0</v>
      </c>
      <c r="F7" s="63">
        <f>IF(TournamentData[[#This Row],[Team Number]]="","",_xlfn.XLOOKUP(TournamentData[[#This Row],[Team Number]],RobotGameScores[Team Number],RobotGameScores[Robot Game 4 Score],0,0,))</f>
        <v>0</v>
      </c>
      <c r="G7" s="63">
        <f>IF(TournamentData[[#This Row],[Team Number]]="","",_xlfn.XLOOKUP(TournamentData[[#This Row],[Team Number]],RobotGameScores[Team Number],RobotGameScores[Robot Game 5 Score],0,0,))</f>
        <v>0</v>
      </c>
      <c r="H7"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7" s="63">
        <f>IF(TournamentData[[#This Row],[Team Number]]="","",_xlfn.RANK.EQ(TournamentData[[#This Row],[Max Robot Game Score]],TournamentData[Max Robot Game Score]))</f>
        <v>1</v>
      </c>
      <c r="J7" s="63">
        <f>IF(TournamentData[[#This Row],[Team Number]]="","",_xlfn.XLOOKUP(TournamentData[[#This Row],[Team Number]],CoreValuesResults[Team Number],CoreValuesResults[Core Values Rank],NumberOfTeams+1,0,))</f>
        <v>1</v>
      </c>
      <c r="K7" s="63">
        <f>IF(TournamentData[[#This Row],[Team Number]]="","",_xlfn.XLOOKUP(TournamentData[[#This Row],[Team Number]],InnovationProjectResults[Team Number],InnovationProjectResults[Innovation Project Rank],NumberOfTeams+1,0,))</f>
        <v>1</v>
      </c>
      <c r="L7" s="63">
        <f>IF(TournamentData[[#This Row],[Team Number]]="","",_xlfn.XLOOKUP(TournamentData[[#This Row],[Team Number]],RobotDesignResults[Team Number],RobotDesignResults[Robot Design Rank],NumberOfTeams+1,0,))</f>
        <v>1</v>
      </c>
      <c r="M7"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7" s="64">
        <f>IF(TournamentData[[#This Row],[Team Number]]="","",IF(M7,RANK(M7,M$3:M$202,1)-COUNTIF(M$3:M$202,0),NumberOfTeams+1))</f>
        <v>1</v>
      </c>
      <c r="O7" s="65">
        <f>_xlfn.XLOOKUP(TournamentData[[#This Row],[Team Number]],CoreValuesResults[Team Number],CoreValuesResults[Breakthrough Selection],0,0,)</f>
        <v>0</v>
      </c>
      <c r="P7" s="65">
        <f>_xlfn.XLOOKUP(TournamentData[[#This Row],[Team Number]],CoreValuesResults[Team Number],CoreValuesResults[Rising All-Star Selection],0,0,)</f>
        <v>0</v>
      </c>
      <c r="Q7" s="65">
        <f>_xlfn.XLOOKUP(TournamentData[[#This Row],[Team Number]],CoreValuesResults[Team Number],CoreValuesResults[Motivate Selection],0,0,)</f>
        <v>0</v>
      </c>
      <c r="R7" s="66"/>
      <c r="S7" s="66"/>
      <c r="T7" s="67"/>
      <c r="U7" s="63">
        <f>_xlfn.XLOOKUP(TournamentData[[#This Row],[Team Number]],CoreValuesResults[Team Number],CoreValuesResults[Core Values Score],0,0,)</f>
        <v>0</v>
      </c>
      <c r="V7" s="63">
        <f>_xlfn.XLOOKUP(TournamentData[[#This Row],[Team Number]],InnovationProjectResults[Team Number],InnovationProjectResults[Innovation Project Score],0,0,)</f>
        <v>0</v>
      </c>
      <c r="W7" s="63">
        <f>_xlfn.XLOOKUP(TournamentData[[#This Row],[Team Number]],RobotDesignResults[Team Number],RobotDesignResults[Robot Design Score],0,0,)</f>
        <v>0</v>
      </c>
      <c r="X7"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7" s="69">
        <f t="shared" si="0"/>
        <v>0</v>
      </c>
      <c r="Z7" s="66"/>
    </row>
    <row r="8" spans="1:26" ht="21" customHeight="1" x14ac:dyDescent="0.45">
      <c r="A8">
        <f>_xlfn.XLOOKUP(6,OfficialTeamList[Row],OfficialTeamList[Team Number],"ERROR",0)</f>
        <v>0</v>
      </c>
      <c r="B8" s="62" t="str">
        <f>_xlfn.XLOOKUP(TournamentData[[#This Row],[Team Number]],OfficialTeamList[Team Number],OfficialTeamList[Team Name],"",0,)</f>
        <v/>
      </c>
      <c r="C8" s="63">
        <f>IF(TournamentData[[#This Row],[Team Number]]="","",_xlfn.XLOOKUP(TournamentData[[#This Row],[Team Number]],RobotGameScores[Team Number],RobotGameScores[Robot Game 1 Score],0,0,))</f>
        <v>0</v>
      </c>
      <c r="D8" s="63">
        <f>IF(TournamentData[[#This Row],[Team Number]]="","",_xlfn.XLOOKUP(TournamentData[[#This Row],[Team Number]],RobotGameScores[Team Number],RobotGameScores[Robot Game 2 Score],0,0,))</f>
        <v>0</v>
      </c>
      <c r="E8" s="63">
        <f>IF(TournamentData[[#This Row],[Team Number]]="","",_xlfn.XLOOKUP(TournamentData[[#This Row],[Team Number]],RobotGameScores[Team Number],RobotGameScores[Robot Game 3 Score],0,0,))</f>
        <v>0</v>
      </c>
      <c r="F8" s="63">
        <f>IF(TournamentData[[#This Row],[Team Number]]="","",_xlfn.XLOOKUP(TournamentData[[#This Row],[Team Number]],RobotGameScores[Team Number],RobotGameScores[Robot Game 4 Score],0,0,))</f>
        <v>0</v>
      </c>
      <c r="G8" s="63">
        <f>IF(TournamentData[[#This Row],[Team Number]]="","",_xlfn.XLOOKUP(TournamentData[[#This Row],[Team Number]],RobotGameScores[Team Number],RobotGameScores[Robot Game 5 Score],0,0,))</f>
        <v>0</v>
      </c>
      <c r="H8"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8" s="63">
        <f>IF(TournamentData[[#This Row],[Team Number]]="","",_xlfn.RANK.EQ(TournamentData[[#This Row],[Max Robot Game Score]],TournamentData[Max Robot Game Score]))</f>
        <v>1</v>
      </c>
      <c r="J8" s="63">
        <f>IF(TournamentData[[#This Row],[Team Number]]="","",_xlfn.XLOOKUP(TournamentData[[#This Row],[Team Number]],CoreValuesResults[Team Number],CoreValuesResults[Core Values Rank],NumberOfTeams+1,0,))</f>
        <v>1</v>
      </c>
      <c r="K8" s="63">
        <f>IF(TournamentData[[#This Row],[Team Number]]="","",_xlfn.XLOOKUP(TournamentData[[#This Row],[Team Number]],InnovationProjectResults[Team Number],InnovationProjectResults[Innovation Project Rank],NumberOfTeams+1,0,))</f>
        <v>1</v>
      </c>
      <c r="L8" s="63">
        <f>IF(TournamentData[[#This Row],[Team Number]]="","",_xlfn.XLOOKUP(TournamentData[[#This Row],[Team Number]],RobotDesignResults[Team Number],RobotDesignResults[Robot Design Rank],NumberOfTeams+1,0,))</f>
        <v>1</v>
      </c>
      <c r="M8"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8" s="64">
        <f>IF(TournamentData[[#This Row],[Team Number]]="","",IF(M8,RANK(M8,M$3:M$202,1)-COUNTIF(M$3:M$202,0),NumberOfTeams+1))</f>
        <v>1</v>
      </c>
      <c r="O8" s="65">
        <f>_xlfn.XLOOKUP(TournamentData[[#This Row],[Team Number]],CoreValuesResults[Team Number],CoreValuesResults[Breakthrough Selection],0,0,)</f>
        <v>0</v>
      </c>
      <c r="P8" s="65">
        <f>_xlfn.XLOOKUP(TournamentData[[#This Row],[Team Number]],CoreValuesResults[Team Number],CoreValuesResults[Rising All-Star Selection],0,0,)</f>
        <v>0</v>
      </c>
      <c r="Q8" s="65">
        <f>_xlfn.XLOOKUP(TournamentData[[#This Row],[Team Number]],CoreValuesResults[Team Number],CoreValuesResults[Motivate Selection],0,0,)</f>
        <v>0</v>
      </c>
      <c r="R8" s="66"/>
      <c r="S8" s="66"/>
      <c r="T8" s="67"/>
      <c r="U8" s="63">
        <f>_xlfn.XLOOKUP(TournamentData[[#This Row],[Team Number]],CoreValuesResults[Team Number],CoreValuesResults[Core Values Score],0,0,)</f>
        <v>0</v>
      </c>
      <c r="V8" s="63">
        <f>_xlfn.XLOOKUP(TournamentData[[#This Row],[Team Number]],InnovationProjectResults[Team Number],InnovationProjectResults[Innovation Project Score],0,0,)</f>
        <v>0</v>
      </c>
      <c r="W8" s="63">
        <f>_xlfn.XLOOKUP(TournamentData[[#This Row],[Team Number]],RobotDesignResults[Team Number],RobotDesignResults[Robot Design Score],0,0,)</f>
        <v>0</v>
      </c>
      <c r="X8"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8" s="69">
        <f t="shared" si="0"/>
        <v>0</v>
      </c>
      <c r="Z8" s="66"/>
    </row>
    <row r="9" spans="1:26" ht="21" customHeight="1" x14ac:dyDescent="0.45">
      <c r="A9">
        <f>_xlfn.XLOOKUP(7,OfficialTeamList[Row],OfficialTeamList[Team Number],"ERROR",0)</f>
        <v>0</v>
      </c>
      <c r="B9" s="62" t="str">
        <f>_xlfn.XLOOKUP(TournamentData[[#This Row],[Team Number]],OfficialTeamList[Team Number],OfficialTeamList[Team Name],"",0,)</f>
        <v/>
      </c>
      <c r="C9" s="63">
        <f>IF(TournamentData[[#This Row],[Team Number]]="","",_xlfn.XLOOKUP(TournamentData[[#This Row],[Team Number]],RobotGameScores[Team Number],RobotGameScores[Robot Game 1 Score],0,0,))</f>
        <v>0</v>
      </c>
      <c r="D9" s="63">
        <f>IF(TournamentData[[#This Row],[Team Number]]="","",_xlfn.XLOOKUP(TournamentData[[#This Row],[Team Number]],RobotGameScores[Team Number],RobotGameScores[Robot Game 2 Score],0,0,))</f>
        <v>0</v>
      </c>
      <c r="E9" s="63">
        <f>IF(TournamentData[[#This Row],[Team Number]]="","",_xlfn.XLOOKUP(TournamentData[[#This Row],[Team Number]],RobotGameScores[Team Number],RobotGameScores[Robot Game 3 Score],0,0,))</f>
        <v>0</v>
      </c>
      <c r="F9" s="63">
        <f>IF(TournamentData[[#This Row],[Team Number]]="","",_xlfn.XLOOKUP(TournamentData[[#This Row],[Team Number]],RobotGameScores[Team Number],RobotGameScores[Robot Game 4 Score],0,0,))</f>
        <v>0</v>
      </c>
      <c r="G9" s="63">
        <f>IF(TournamentData[[#This Row],[Team Number]]="","",_xlfn.XLOOKUP(TournamentData[[#This Row],[Team Number]],RobotGameScores[Team Number],RobotGameScores[Robot Game 5 Score],0,0,))</f>
        <v>0</v>
      </c>
      <c r="H9"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9" s="63">
        <f>IF(TournamentData[[#This Row],[Team Number]]="","",_xlfn.RANK.EQ(TournamentData[[#This Row],[Max Robot Game Score]],TournamentData[Max Robot Game Score]))</f>
        <v>1</v>
      </c>
      <c r="J9" s="63">
        <f>IF(TournamentData[[#This Row],[Team Number]]="","",_xlfn.XLOOKUP(TournamentData[[#This Row],[Team Number]],CoreValuesResults[Team Number],CoreValuesResults[Core Values Rank],NumberOfTeams+1,0,))</f>
        <v>1</v>
      </c>
      <c r="K9" s="63">
        <f>IF(TournamentData[[#This Row],[Team Number]]="","",_xlfn.XLOOKUP(TournamentData[[#This Row],[Team Number]],InnovationProjectResults[Team Number],InnovationProjectResults[Innovation Project Rank],NumberOfTeams+1,0,))</f>
        <v>1</v>
      </c>
      <c r="L9" s="63">
        <f>IF(TournamentData[[#This Row],[Team Number]]="","",_xlfn.XLOOKUP(TournamentData[[#This Row],[Team Number]],RobotDesignResults[Team Number],RobotDesignResults[Robot Design Rank],NumberOfTeams+1,0,))</f>
        <v>1</v>
      </c>
      <c r="M9"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9" s="64">
        <f>IF(TournamentData[[#This Row],[Team Number]]="","",IF(M9,RANK(M9,M$3:M$202,1)-COUNTIF(M$3:M$202,0),NumberOfTeams+1))</f>
        <v>1</v>
      </c>
      <c r="O9" s="65">
        <f>_xlfn.XLOOKUP(TournamentData[[#This Row],[Team Number]],CoreValuesResults[Team Number],CoreValuesResults[Breakthrough Selection],0,0,)</f>
        <v>0</v>
      </c>
      <c r="P9" s="65">
        <f>_xlfn.XLOOKUP(TournamentData[[#This Row],[Team Number]],CoreValuesResults[Team Number],CoreValuesResults[Rising All-Star Selection],0,0,)</f>
        <v>0</v>
      </c>
      <c r="Q9" s="65">
        <f>_xlfn.XLOOKUP(TournamentData[[#This Row],[Team Number]],CoreValuesResults[Team Number],CoreValuesResults[Motivate Selection],0,0,)</f>
        <v>0</v>
      </c>
      <c r="R9" s="66"/>
      <c r="S9" s="66"/>
      <c r="T9" s="67"/>
      <c r="U9" s="63">
        <f>_xlfn.XLOOKUP(TournamentData[[#This Row],[Team Number]],CoreValuesResults[Team Number],CoreValuesResults[Core Values Score],0,0,)</f>
        <v>0</v>
      </c>
      <c r="V9" s="63">
        <f>_xlfn.XLOOKUP(TournamentData[[#This Row],[Team Number]],InnovationProjectResults[Team Number],InnovationProjectResults[Innovation Project Score],0,0,)</f>
        <v>0</v>
      </c>
      <c r="W9" s="63">
        <f>_xlfn.XLOOKUP(TournamentData[[#This Row],[Team Number]],RobotDesignResults[Team Number],RobotDesignResults[Robot Design Score],0,0,)</f>
        <v>0</v>
      </c>
      <c r="X9"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9" s="69">
        <f t="shared" si="0"/>
        <v>0</v>
      </c>
      <c r="Z9" s="66"/>
    </row>
    <row r="10" spans="1:26" ht="21" customHeight="1" x14ac:dyDescent="0.45">
      <c r="A10">
        <f>_xlfn.XLOOKUP(8,OfficialTeamList[Row],OfficialTeamList[Team Number],"ERROR",0)</f>
        <v>0</v>
      </c>
      <c r="B10" s="62" t="str">
        <f>_xlfn.XLOOKUP(TournamentData[[#This Row],[Team Number]],OfficialTeamList[Team Number],OfficialTeamList[Team Name],"",0,)</f>
        <v/>
      </c>
      <c r="C10" s="63">
        <f>IF(TournamentData[[#This Row],[Team Number]]="","",_xlfn.XLOOKUP(TournamentData[[#This Row],[Team Number]],RobotGameScores[Team Number],RobotGameScores[Robot Game 1 Score],0,0,))</f>
        <v>0</v>
      </c>
      <c r="D10" s="63">
        <f>IF(TournamentData[[#This Row],[Team Number]]="","",_xlfn.XLOOKUP(TournamentData[[#This Row],[Team Number]],RobotGameScores[Team Number],RobotGameScores[Robot Game 2 Score],0,0,))</f>
        <v>0</v>
      </c>
      <c r="E10" s="63">
        <f>IF(TournamentData[[#This Row],[Team Number]]="","",_xlfn.XLOOKUP(TournamentData[[#This Row],[Team Number]],RobotGameScores[Team Number],RobotGameScores[Robot Game 3 Score],0,0,))</f>
        <v>0</v>
      </c>
      <c r="F10" s="63">
        <f>IF(TournamentData[[#This Row],[Team Number]]="","",_xlfn.XLOOKUP(TournamentData[[#This Row],[Team Number]],RobotGameScores[Team Number],RobotGameScores[Robot Game 4 Score],0,0,))</f>
        <v>0</v>
      </c>
      <c r="G10" s="63">
        <f>IF(TournamentData[[#This Row],[Team Number]]="","",_xlfn.XLOOKUP(TournamentData[[#This Row],[Team Number]],RobotGameScores[Team Number],RobotGameScores[Robot Game 5 Score],0,0,))</f>
        <v>0</v>
      </c>
      <c r="H10"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0" s="63">
        <f>IF(TournamentData[[#This Row],[Team Number]]="","",_xlfn.RANK.EQ(TournamentData[[#This Row],[Max Robot Game Score]],TournamentData[Max Robot Game Score]))</f>
        <v>1</v>
      </c>
      <c r="J10" s="63">
        <f>IF(TournamentData[[#This Row],[Team Number]]="","",_xlfn.XLOOKUP(TournamentData[[#This Row],[Team Number]],CoreValuesResults[Team Number],CoreValuesResults[Core Values Rank],NumberOfTeams+1,0,))</f>
        <v>1</v>
      </c>
      <c r="K10" s="63">
        <f>IF(TournamentData[[#This Row],[Team Number]]="","",_xlfn.XLOOKUP(TournamentData[[#This Row],[Team Number]],InnovationProjectResults[Team Number],InnovationProjectResults[Innovation Project Rank],NumberOfTeams+1,0,))</f>
        <v>1</v>
      </c>
      <c r="L10" s="63">
        <f>IF(TournamentData[[#This Row],[Team Number]]="","",_xlfn.XLOOKUP(TournamentData[[#This Row],[Team Number]],RobotDesignResults[Team Number],RobotDesignResults[Robot Design Rank],NumberOfTeams+1,0,))</f>
        <v>1</v>
      </c>
      <c r="M10"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0" s="64">
        <f>IF(TournamentData[[#This Row],[Team Number]]="","",IF(M10,RANK(M10,M$3:M$202,1)-COUNTIF(M$3:M$202,0),NumberOfTeams+1))</f>
        <v>1</v>
      </c>
      <c r="O10" s="65">
        <f>_xlfn.XLOOKUP(TournamentData[[#This Row],[Team Number]],CoreValuesResults[Team Number],CoreValuesResults[Breakthrough Selection],0,0,)</f>
        <v>0</v>
      </c>
      <c r="P10" s="65">
        <f>_xlfn.XLOOKUP(TournamentData[[#This Row],[Team Number]],CoreValuesResults[Team Number],CoreValuesResults[Rising All-Star Selection],0,0,)</f>
        <v>0</v>
      </c>
      <c r="Q10" s="65">
        <f>_xlfn.XLOOKUP(TournamentData[[#This Row],[Team Number]],CoreValuesResults[Team Number],CoreValuesResults[Motivate Selection],0,0,)</f>
        <v>0</v>
      </c>
      <c r="R10" s="66"/>
      <c r="S10" s="66"/>
      <c r="T10" s="67"/>
      <c r="U10" s="63">
        <f>_xlfn.XLOOKUP(TournamentData[[#This Row],[Team Number]],CoreValuesResults[Team Number],CoreValuesResults[Core Values Score],0,0,)</f>
        <v>0</v>
      </c>
      <c r="V10" s="63">
        <f>_xlfn.XLOOKUP(TournamentData[[#This Row],[Team Number]],InnovationProjectResults[Team Number],InnovationProjectResults[Innovation Project Score],0,0,)</f>
        <v>0</v>
      </c>
      <c r="W10" s="63">
        <f>_xlfn.XLOOKUP(TournamentData[[#This Row],[Team Number]],RobotDesignResults[Team Number],RobotDesignResults[Robot Design Score],0,0,)</f>
        <v>0</v>
      </c>
      <c r="X10"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0" s="69">
        <f t="shared" si="0"/>
        <v>0</v>
      </c>
      <c r="Z10" s="66"/>
    </row>
    <row r="11" spans="1:26" ht="21" customHeight="1" x14ac:dyDescent="0.45">
      <c r="A11">
        <f>_xlfn.XLOOKUP(9,OfficialTeamList[Row],OfficialTeamList[Team Number],"ERROR",0)</f>
        <v>0</v>
      </c>
      <c r="B11" s="62" t="str">
        <f>_xlfn.XLOOKUP(TournamentData[[#This Row],[Team Number]],OfficialTeamList[Team Number],OfficialTeamList[Team Name],"",0,)</f>
        <v/>
      </c>
      <c r="C11" s="63">
        <f>IF(TournamentData[[#This Row],[Team Number]]="","",_xlfn.XLOOKUP(TournamentData[[#This Row],[Team Number]],RobotGameScores[Team Number],RobotGameScores[Robot Game 1 Score],0,0,))</f>
        <v>0</v>
      </c>
      <c r="D11" s="63">
        <f>IF(TournamentData[[#This Row],[Team Number]]="","",_xlfn.XLOOKUP(TournamentData[[#This Row],[Team Number]],RobotGameScores[Team Number],RobotGameScores[Robot Game 2 Score],0,0,))</f>
        <v>0</v>
      </c>
      <c r="E11" s="63">
        <f>IF(TournamentData[[#This Row],[Team Number]]="","",_xlfn.XLOOKUP(TournamentData[[#This Row],[Team Number]],RobotGameScores[Team Number],RobotGameScores[Robot Game 3 Score],0,0,))</f>
        <v>0</v>
      </c>
      <c r="F11" s="63">
        <f>IF(TournamentData[[#This Row],[Team Number]]="","",_xlfn.XLOOKUP(TournamentData[[#This Row],[Team Number]],RobotGameScores[Team Number],RobotGameScores[Robot Game 4 Score],0,0,))</f>
        <v>0</v>
      </c>
      <c r="G11" s="63">
        <f>IF(TournamentData[[#This Row],[Team Number]]="","",_xlfn.XLOOKUP(TournamentData[[#This Row],[Team Number]],RobotGameScores[Team Number],RobotGameScores[Robot Game 5 Score],0,0,))</f>
        <v>0</v>
      </c>
      <c r="H11"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1" s="63">
        <f>IF(TournamentData[[#This Row],[Team Number]]="","",_xlfn.RANK.EQ(TournamentData[[#This Row],[Max Robot Game Score]],TournamentData[Max Robot Game Score]))</f>
        <v>1</v>
      </c>
      <c r="J11" s="63">
        <f>IF(TournamentData[[#This Row],[Team Number]]="","",_xlfn.XLOOKUP(TournamentData[[#This Row],[Team Number]],CoreValuesResults[Team Number],CoreValuesResults[Core Values Rank],NumberOfTeams+1,0,))</f>
        <v>1</v>
      </c>
      <c r="K11" s="63">
        <f>IF(TournamentData[[#This Row],[Team Number]]="","",_xlfn.XLOOKUP(TournamentData[[#This Row],[Team Number]],InnovationProjectResults[Team Number],InnovationProjectResults[Innovation Project Rank],NumberOfTeams+1,0,))</f>
        <v>1</v>
      </c>
      <c r="L11" s="63">
        <f>IF(TournamentData[[#This Row],[Team Number]]="","",_xlfn.XLOOKUP(TournamentData[[#This Row],[Team Number]],RobotDesignResults[Team Number],RobotDesignResults[Robot Design Rank],NumberOfTeams+1,0,))</f>
        <v>1</v>
      </c>
      <c r="M11"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1" s="64">
        <f>IF(TournamentData[[#This Row],[Team Number]]="","",IF(M11,RANK(M11,M$3:M$202,1)-COUNTIF(M$3:M$202,0),NumberOfTeams+1))</f>
        <v>1</v>
      </c>
      <c r="O11" s="65">
        <f>_xlfn.XLOOKUP(TournamentData[[#This Row],[Team Number]],CoreValuesResults[Team Number],CoreValuesResults[Breakthrough Selection],0,0,)</f>
        <v>0</v>
      </c>
      <c r="P11" s="65">
        <f>_xlfn.XLOOKUP(TournamentData[[#This Row],[Team Number]],CoreValuesResults[Team Number],CoreValuesResults[Rising All-Star Selection],0,0,)</f>
        <v>0</v>
      </c>
      <c r="Q11" s="65">
        <f>_xlfn.XLOOKUP(TournamentData[[#This Row],[Team Number]],CoreValuesResults[Team Number],CoreValuesResults[Motivate Selection],0,0,)</f>
        <v>0</v>
      </c>
      <c r="R11" s="66"/>
      <c r="S11" s="66"/>
      <c r="T11" s="67"/>
      <c r="U11" s="63">
        <f>_xlfn.XLOOKUP(TournamentData[[#This Row],[Team Number]],CoreValuesResults[Team Number],CoreValuesResults[Core Values Score],0,0,)</f>
        <v>0</v>
      </c>
      <c r="V11" s="63">
        <f>_xlfn.XLOOKUP(TournamentData[[#This Row],[Team Number]],InnovationProjectResults[Team Number],InnovationProjectResults[Innovation Project Score],0,0,)</f>
        <v>0</v>
      </c>
      <c r="W11" s="63">
        <f>_xlfn.XLOOKUP(TournamentData[[#This Row],[Team Number]],RobotDesignResults[Team Number],RobotDesignResults[Robot Design Score],0,0,)</f>
        <v>0</v>
      </c>
      <c r="X11"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1" s="69">
        <f t="shared" si="0"/>
        <v>0</v>
      </c>
      <c r="Z11" s="66"/>
    </row>
    <row r="12" spans="1:26" ht="21" customHeight="1" x14ac:dyDescent="0.45">
      <c r="A12">
        <f>_xlfn.XLOOKUP(10,OfficialTeamList[Row],OfficialTeamList[Team Number],"ERROR",0)</f>
        <v>0</v>
      </c>
      <c r="B12" s="62" t="str">
        <f>_xlfn.XLOOKUP(TournamentData[[#This Row],[Team Number]],OfficialTeamList[Team Number],OfficialTeamList[Team Name],"",0,)</f>
        <v/>
      </c>
      <c r="C12" s="63">
        <f>IF(TournamentData[[#This Row],[Team Number]]="","",_xlfn.XLOOKUP(TournamentData[[#This Row],[Team Number]],RobotGameScores[Team Number],RobotGameScores[Robot Game 1 Score],0,0,))</f>
        <v>0</v>
      </c>
      <c r="D12" s="63">
        <f>IF(TournamentData[[#This Row],[Team Number]]="","",_xlfn.XLOOKUP(TournamentData[[#This Row],[Team Number]],RobotGameScores[Team Number],RobotGameScores[Robot Game 2 Score],0,0,))</f>
        <v>0</v>
      </c>
      <c r="E12" s="63">
        <f>IF(TournamentData[[#This Row],[Team Number]]="","",_xlfn.XLOOKUP(TournamentData[[#This Row],[Team Number]],RobotGameScores[Team Number],RobotGameScores[Robot Game 3 Score],0,0,))</f>
        <v>0</v>
      </c>
      <c r="F12" s="63">
        <f>IF(TournamentData[[#This Row],[Team Number]]="","",_xlfn.XLOOKUP(TournamentData[[#This Row],[Team Number]],RobotGameScores[Team Number],RobotGameScores[Robot Game 4 Score],0,0,))</f>
        <v>0</v>
      </c>
      <c r="G12" s="63">
        <f>IF(TournamentData[[#This Row],[Team Number]]="","",_xlfn.XLOOKUP(TournamentData[[#This Row],[Team Number]],RobotGameScores[Team Number],RobotGameScores[Robot Game 5 Score],0,0,))</f>
        <v>0</v>
      </c>
      <c r="H12"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2" s="63">
        <f>IF(TournamentData[[#This Row],[Team Number]]="","",_xlfn.RANK.EQ(TournamentData[[#This Row],[Max Robot Game Score]],TournamentData[Max Robot Game Score]))</f>
        <v>1</v>
      </c>
      <c r="J12" s="63">
        <f>IF(TournamentData[[#This Row],[Team Number]]="","",_xlfn.XLOOKUP(TournamentData[[#This Row],[Team Number]],CoreValuesResults[Team Number],CoreValuesResults[Core Values Rank],NumberOfTeams+1,0,))</f>
        <v>1</v>
      </c>
      <c r="K12" s="63">
        <f>IF(TournamentData[[#This Row],[Team Number]]="","",_xlfn.XLOOKUP(TournamentData[[#This Row],[Team Number]],InnovationProjectResults[Team Number],InnovationProjectResults[Innovation Project Rank],NumberOfTeams+1,0,))</f>
        <v>1</v>
      </c>
      <c r="L12" s="63">
        <f>IF(TournamentData[[#This Row],[Team Number]]="","",_xlfn.XLOOKUP(TournamentData[[#This Row],[Team Number]],RobotDesignResults[Team Number],RobotDesignResults[Robot Design Rank],NumberOfTeams+1,0,))</f>
        <v>1</v>
      </c>
      <c r="M12"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2" s="64">
        <f>IF(TournamentData[[#This Row],[Team Number]]="","",IF(M12,RANK(M12,M$3:M$202,1)-COUNTIF(M$3:M$202,0),NumberOfTeams+1))</f>
        <v>1</v>
      </c>
      <c r="O12" s="65">
        <f>_xlfn.XLOOKUP(TournamentData[[#This Row],[Team Number]],CoreValuesResults[Team Number],CoreValuesResults[Breakthrough Selection],0,0,)</f>
        <v>0</v>
      </c>
      <c r="P12" s="65">
        <f>_xlfn.XLOOKUP(TournamentData[[#This Row],[Team Number]],CoreValuesResults[Team Number],CoreValuesResults[Rising All-Star Selection],0,0,)</f>
        <v>0</v>
      </c>
      <c r="Q12" s="65">
        <f>_xlfn.XLOOKUP(TournamentData[[#This Row],[Team Number]],CoreValuesResults[Team Number],CoreValuesResults[Motivate Selection],0,0,)</f>
        <v>0</v>
      </c>
      <c r="R12" s="66"/>
      <c r="S12" s="66"/>
      <c r="T12" s="67"/>
      <c r="U12" s="63">
        <f>_xlfn.XLOOKUP(TournamentData[[#This Row],[Team Number]],CoreValuesResults[Team Number],CoreValuesResults[Core Values Score],0,0,)</f>
        <v>0</v>
      </c>
      <c r="V12" s="63">
        <f>_xlfn.XLOOKUP(TournamentData[[#This Row],[Team Number]],InnovationProjectResults[Team Number],InnovationProjectResults[Innovation Project Score],0,0,)</f>
        <v>0</v>
      </c>
      <c r="W12" s="63">
        <f>_xlfn.XLOOKUP(TournamentData[[#This Row],[Team Number]],RobotDesignResults[Team Number],RobotDesignResults[Robot Design Score],0,0,)</f>
        <v>0</v>
      </c>
      <c r="X12"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2" s="69">
        <f t="shared" si="0"/>
        <v>0</v>
      </c>
      <c r="Z12" s="66"/>
    </row>
    <row r="13" spans="1:26" ht="21" customHeight="1" x14ac:dyDescent="0.45">
      <c r="A13">
        <f>_xlfn.XLOOKUP(11,OfficialTeamList[Row],OfficialTeamList[Team Number],"ERROR",0)</f>
        <v>0</v>
      </c>
      <c r="B13" s="62" t="str">
        <f>_xlfn.XLOOKUP(TournamentData[[#This Row],[Team Number]],OfficialTeamList[Team Number],OfficialTeamList[Team Name],"",0,)</f>
        <v/>
      </c>
      <c r="C13" s="63">
        <f>IF(TournamentData[[#This Row],[Team Number]]="","",_xlfn.XLOOKUP(TournamentData[[#This Row],[Team Number]],RobotGameScores[Team Number],RobotGameScores[Robot Game 1 Score],0,0,))</f>
        <v>0</v>
      </c>
      <c r="D13" s="63">
        <f>IF(TournamentData[[#This Row],[Team Number]]="","",_xlfn.XLOOKUP(TournamentData[[#This Row],[Team Number]],RobotGameScores[Team Number],RobotGameScores[Robot Game 2 Score],0,0,))</f>
        <v>0</v>
      </c>
      <c r="E13" s="63">
        <f>IF(TournamentData[[#This Row],[Team Number]]="","",_xlfn.XLOOKUP(TournamentData[[#This Row],[Team Number]],RobotGameScores[Team Number],RobotGameScores[Robot Game 3 Score],0,0,))</f>
        <v>0</v>
      </c>
      <c r="F13" s="63">
        <f>IF(TournamentData[[#This Row],[Team Number]]="","",_xlfn.XLOOKUP(TournamentData[[#This Row],[Team Number]],RobotGameScores[Team Number],RobotGameScores[Robot Game 4 Score],0,0,))</f>
        <v>0</v>
      </c>
      <c r="G13" s="63">
        <f>IF(TournamentData[[#This Row],[Team Number]]="","",_xlfn.XLOOKUP(TournamentData[[#This Row],[Team Number]],RobotGameScores[Team Number],RobotGameScores[Robot Game 5 Score],0,0,))</f>
        <v>0</v>
      </c>
      <c r="H13"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3" s="63">
        <f>IF(TournamentData[[#This Row],[Team Number]]="","",_xlfn.RANK.EQ(TournamentData[[#This Row],[Max Robot Game Score]],TournamentData[Max Robot Game Score]))</f>
        <v>1</v>
      </c>
      <c r="J13" s="63">
        <f>IF(TournamentData[[#This Row],[Team Number]]="","",_xlfn.XLOOKUP(TournamentData[[#This Row],[Team Number]],CoreValuesResults[Team Number],CoreValuesResults[Core Values Rank],NumberOfTeams+1,0,))</f>
        <v>1</v>
      </c>
      <c r="K13" s="63">
        <f>IF(TournamentData[[#This Row],[Team Number]]="","",_xlfn.XLOOKUP(TournamentData[[#This Row],[Team Number]],InnovationProjectResults[Team Number],InnovationProjectResults[Innovation Project Rank],NumberOfTeams+1,0,))</f>
        <v>1</v>
      </c>
      <c r="L13" s="63">
        <f>IF(TournamentData[[#This Row],[Team Number]]="","",_xlfn.XLOOKUP(TournamentData[[#This Row],[Team Number]],RobotDesignResults[Team Number],RobotDesignResults[Robot Design Rank],NumberOfTeams+1,0,))</f>
        <v>1</v>
      </c>
      <c r="M13"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3" s="64">
        <f>IF(TournamentData[[#This Row],[Team Number]]="","",IF(M13,RANK(M13,M$3:M$202,1)-COUNTIF(M$3:M$202,0),NumberOfTeams+1))</f>
        <v>1</v>
      </c>
      <c r="O13" s="65">
        <f>_xlfn.XLOOKUP(TournamentData[[#This Row],[Team Number]],CoreValuesResults[Team Number],CoreValuesResults[Breakthrough Selection],0,0,)</f>
        <v>0</v>
      </c>
      <c r="P13" s="65">
        <f>_xlfn.XLOOKUP(TournamentData[[#This Row],[Team Number]],CoreValuesResults[Team Number],CoreValuesResults[Rising All-Star Selection],0,0,)</f>
        <v>0</v>
      </c>
      <c r="Q13" s="65">
        <f>_xlfn.XLOOKUP(TournamentData[[#This Row],[Team Number]],CoreValuesResults[Team Number],CoreValuesResults[Motivate Selection],0,0,)</f>
        <v>0</v>
      </c>
      <c r="R13" s="66"/>
      <c r="S13" s="66"/>
      <c r="T13" s="67"/>
      <c r="U13" s="63">
        <f>_xlfn.XLOOKUP(TournamentData[[#This Row],[Team Number]],CoreValuesResults[Team Number],CoreValuesResults[Core Values Score],0,0,)</f>
        <v>0</v>
      </c>
      <c r="V13" s="63">
        <f>_xlfn.XLOOKUP(TournamentData[[#This Row],[Team Number]],InnovationProjectResults[Team Number],InnovationProjectResults[Innovation Project Score],0,0,)</f>
        <v>0</v>
      </c>
      <c r="W13" s="63">
        <f>_xlfn.XLOOKUP(TournamentData[[#This Row],[Team Number]],RobotDesignResults[Team Number],RobotDesignResults[Robot Design Score],0,0,)</f>
        <v>0</v>
      </c>
      <c r="X13"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3" s="69">
        <f t="shared" si="0"/>
        <v>0</v>
      </c>
      <c r="Z13" s="66"/>
    </row>
    <row r="14" spans="1:26" ht="21" customHeight="1" x14ac:dyDescent="0.45">
      <c r="A14">
        <f>_xlfn.XLOOKUP(12,OfficialTeamList[Row],OfficialTeamList[Team Number],"ERROR",0)</f>
        <v>0</v>
      </c>
      <c r="B14" s="62" t="str">
        <f>_xlfn.XLOOKUP(TournamentData[[#This Row],[Team Number]],OfficialTeamList[Team Number],OfficialTeamList[Team Name],"",0,)</f>
        <v/>
      </c>
      <c r="C14" s="63">
        <f>IF(TournamentData[[#This Row],[Team Number]]="","",_xlfn.XLOOKUP(TournamentData[[#This Row],[Team Number]],RobotGameScores[Team Number],RobotGameScores[Robot Game 1 Score],0,0,))</f>
        <v>0</v>
      </c>
      <c r="D14" s="63">
        <f>IF(TournamentData[[#This Row],[Team Number]]="","",_xlfn.XLOOKUP(TournamentData[[#This Row],[Team Number]],RobotGameScores[Team Number],RobotGameScores[Robot Game 2 Score],0,0,))</f>
        <v>0</v>
      </c>
      <c r="E14" s="63">
        <f>IF(TournamentData[[#This Row],[Team Number]]="","",_xlfn.XLOOKUP(TournamentData[[#This Row],[Team Number]],RobotGameScores[Team Number],RobotGameScores[Robot Game 3 Score],0,0,))</f>
        <v>0</v>
      </c>
      <c r="F14" s="63">
        <f>IF(TournamentData[[#This Row],[Team Number]]="","",_xlfn.XLOOKUP(TournamentData[[#This Row],[Team Number]],RobotGameScores[Team Number],RobotGameScores[Robot Game 4 Score],0,0,))</f>
        <v>0</v>
      </c>
      <c r="G14" s="63">
        <f>IF(TournamentData[[#This Row],[Team Number]]="","",_xlfn.XLOOKUP(TournamentData[[#This Row],[Team Number]],RobotGameScores[Team Number],RobotGameScores[Robot Game 5 Score],0,0,))</f>
        <v>0</v>
      </c>
      <c r="H14"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4" s="63">
        <f>IF(TournamentData[[#This Row],[Team Number]]="","",_xlfn.RANK.EQ(TournamentData[[#This Row],[Max Robot Game Score]],TournamentData[Max Robot Game Score]))</f>
        <v>1</v>
      </c>
      <c r="J14" s="63">
        <f>IF(TournamentData[[#This Row],[Team Number]]="","",_xlfn.XLOOKUP(TournamentData[[#This Row],[Team Number]],CoreValuesResults[Team Number],CoreValuesResults[Core Values Rank],NumberOfTeams+1,0,))</f>
        <v>1</v>
      </c>
      <c r="K14" s="63">
        <f>IF(TournamentData[[#This Row],[Team Number]]="","",_xlfn.XLOOKUP(TournamentData[[#This Row],[Team Number]],InnovationProjectResults[Team Number],InnovationProjectResults[Innovation Project Rank],NumberOfTeams+1,0,))</f>
        <v>1</v>
      </c>
      <c r="L14" s="63">
        <f>IF(TournamentData[[#This Row],[Team Number]]="","",_xlfn.XLOOKUP(TournamentData[[#This Row],[Team Number]],RobotDesignResults[Team Number],RobotDesignResults[Robot Design Rank],NumberOfTeams+1,0,))</f>
        <v>1</v>
      </c>
      <c r="M14"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4" s="64">
        <f>IF(TournamentData[[#This Row],[Team Number]]="","",IF(M14,RANK(M14,M$3:M$202,1)-COUNTIF(M$3:M$202,0),NumberOfTeams+1))</f>
        <v>1</v>
      </c>
      <c r="O14" s="65">
        <f>_xlfn.XLOOKUP(TournamentData[[#This Row],[Team Number]],CoreValuesResults[Team Number],CoreValuesResults[Breakthrough Selection],0,0,)</f>
        <v>0</v>
      </c>
      <c r="P14" s="65">
        <f>_xlfn.XLOOKUP(TournamentData[[#This Row],[Team Number]],CoreValuesResults[Team Number],CoreValuesResults[Rising All-Star Selection],0,0,)</f>
        <v>0</v>
      </c>
      <c r="Q14" s="65">
        <f>_xlfn.XLOOKUP(TournamentData[[#This Row],[Team Number]],CoreValuesResults[Team Number],CoreValuesResults[Motivate Selection],0,0,)</f>
        <v>0</v>
      </c>
      <c r="R14" s="66"/>
      <c r="S14" s="66"/>
      <c r="T14" s="67"/>
      <c r="U14" s="63">
        <f>_xlfn.XLOOKUP(TournamentData[[#This Row],[Team Number]],CoreValuesResults[Team Number],CoreValuesResults[Core Values Score],0,0,)</f>
        <v>0</v>
      </c>
      <c r="V14" s="63">
        <f>_xlfn.XLOOKUP(TournamentData[[#This Row],[Team Number]],InnovationProjectResults[Team Number],InnovationProjectResults[Innovation Project Score],0,0,)</f>
        <v>0</v>
      </c>
      <c r="W14" s="63">
        <f>_xlfn.XLOOKUP(TournamentData[[#This Row],[Team Number]],RobotDesignResults[Team Number],RobotDesignResults[Robot Design Score],0,0,)</f>
        <v>0</v>
      </c>
      <c r="X14"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4" s="69">
        <f t="shared" si="0"/>
        <v>0</v>
      </c>
      <c r="Z14" s="66"/>
    </row>
    <row r="15" spans="1:26" ht="21" customHeight="1" x14ac:dyDescent="0.45">
      <c r="A15">
        <f>_xlfn.XLOOKUP(13,OfficialTeamList[Row],OfficialTeamList[Team Number],"ERROR",0)</f>
        <v>0</v>
      </c>
      <c r="B15" s="62" t="str">
        <f>_xlfn.XLOOKUP(TournamentData[[#This Row],[Team Number]],OfficialTeamList[Team Number],OfficialTeamList[Team Name],"",0,)</f>
        <v/>
      </c>
      <c r="C15" s="63">
        <f>IF(TournamentData[[#This Row],[Team Number]]="","",_xlfn.XLOOKUP(TournamentData[[#This Row],[Team Number]],RobotGameScores[Team Number],RobotGameScores[Robot Game 1 Score],0,0,))</f>
        <v>0</v>
      </c>
      <c r="D15" s="63">
        <f>IF(TournamentData[[#This Row],[Team Number]]="","",_xlfn.XLOOKUP(TournamentData[[#This Row],[Team Number]],RobotGameScores[Team Number],RobotGameScores[Robot Game 2 Score],0,0,))</f>
        <v>0</v>
      </c>
      <c r="E15" s="63">
        <f>IF(TournamentData[[#This Row],[Team Number]]="","",_xlfn.XLOOKUP(TournamentData[[#This Row],[Team Number]],RobotGameScores[Team Number],RobotGameScores[Robot Game 3 Score],0,0,))</f>
        <v>0</v>
      </c>
      <c r="F15" s="63">
        <f>IF(TournamentData[[#This Row],[Team Number]]="","",_xlfn.XLOOKUP(TournamentData[[#This Row],[Team Number]],RobotGameScores[Team Number],RobotGameScores[Robot Game 4 Score],0,0,))</f>
        <v>0</v>
      </c>
      <c r="G15" s="63">
        <f>IF(TournamentData[[#This Row],[Team Number]]="","",_xlfn.XLOOKUP(TournamentData[[#This Row],[Team Number]],RobotGameScores[Team Number],RobotGameScores[Robot Game 5 Score],0,0,))</f>
        <v>0</v>
      </c>
      <c r="H15"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5" s="63">
        <f>IF(TournamentData[[#This Row],[Team Number]]="","",_xlfn.RANK.EQ(TournamentData[[#This Row],[Max Robot Game Score]],TournamentData[Max Robot Game Score]))</f>
        <v>1</v>
      </c>
      <c r="J15" s="63">
        <f>IF(TournamentData[[#This Row],[Team Number]]="","",_xlfn.XLOOKUP(TournamentData[[#This Row],[Team Number]],CoreValuesResults[Team Number],CoreValuesResults[Core Values Rank],NumberOfTeams+1,0,))</f>
        <v>1</v>
      </c>
      <c r="K15" s="63">
        <f>IF(TournamentData[[#This Row],[Team Number]]="","",_xlfn.XLOOKUP(TournamentData[[#This Row],[Team Number]],InnovationProjectResults[Team Number],InnovationProjectResults[Innovation Project Rank],NumberOfTeams+1,0,))</f>
        <v>1</v>
      </c>
      <c r="L15" s="63">
        <f>IF(TournamentData[[#This Row],[Team Number]]="","",_xlfn.XLOOKUP(TournamentData[[#This Row],[Team Number]],RobotDesignResults[Team Number],RobotDesignResults[Robot Design Rank],NumberOfTeams+1,0,))</f>
        <v>1</v>
      </c>
      <c r="M15"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5" s="64">
        <f>IF(TournamentData[[#This Row],[Team Number]]="","",IF(M15,RANK(M15,M$3:M$202,1)-COUNTIF(M$3:M$202,0),NumberOfTeams+1))</f>
        <v>1</v>
      </c>
      <c r="O15" s="70">
        <f>_xlfn.XLOOKUP(TournamentData[[#This Row],[Team Number]],CoreValuesResults[Team Number],CoreValuesResults[Breakthrough Selection],0,0,)</f>
        <v>0</v>
      </c>
      <c r="P15" s="70">
        <f>_xlfn.XLOOKUP(TournamentData[[#This Row],[Team Number]],CoreValuesResults[Team Number],CoreValuesResults[Rising All-Star Selection],0,0,)</f>
        <v>0</v>
      </c>
      <c r="Q15" s="70">
        <f>_xlfn.XLOOKUP(TournamentData[[#This Row],[Team Number]],CoreValuesResults[Team Number],CoreValuesResults[Motivate Selection],0,0,)</f>
        <v>0</v>
      </c>
      <c r="R15" s="66"/>
      <c r="S15" s="66"/>
      <c r="T15" s="67"/>
      <c r="U15" s="63">
        <f>_xlfn.XLOOKUP(TournamentData[[#This Row],[Team Number]],CoreValuesResults[Team Number],CoreValuesResults[Core Values Score],0,0,)</f>
        <v>0</v>
      </c>
      <c r="V15" s="63">
        <f>_xlfn.XLOOKUP(TournamentData[[#This Row],[Team Number]],InnovationProjectResults[Team Number],InnovationProjectResults[Innovation Project Score],0,0,)</f>
        <v>0</v>
      </c>
      <c r="W15" s="63">
        <f>_xlfn.XLOOKUP(TournamentData[[#This Row],[Team Number]],RobotDesignResults[Team Number],RobotDesignResults[Robot Design Score],0,0,)</f>
        <v>0</v>
      </c>
      <c r="X15"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5" s="69">
        <f t="shared" si="0"/>
        <v>0</v>
      </c>
      <c r="Z15" s="66"/>
    </row>
    <row r="16" spans="1:26" ht="21" customHeight="1" x14ac:dyDescent="0.45">
      <c r="A16">
        <f>_xlfn.XLOOKUP(14,OfficialTeamList[Row],OfficialTeamList[Team Number],"ERROR",0)</f>
        <v>0</v>
      </c>
      <c r="B16" s="62" t="str">
        <f>_xlfn.XLOOKUP(TournamentData[[#This Row],[Team Number]],OfficialTeamList[Team Number],OfficialTeamList[Team Name],"",0,)</f>
        <v/>
      </c>
      <c r="C16" s="63">
        <f>IF(TournamentData[[#This Row],[Team Number]]="","",_xlfn.XLOOKUP(TournamentData[[#This Row],[Team Number]],RobotGameScores[Team Number],RobotGameScores[Robot Game 1 Score],0,0,))</f>
        <v>0</v>
      </c>
      <c r="D16" s="63">
        <f>IF(TournamentData[[#This Row],[Team Number]]="","",_xlfn.XLOOKUP(TournamentData[[#This Row],[Team Number]],RobotGameScores[Team Number],RobotGameScores[Robot Game 2 Score],0,0,))</f>
        <v>0</v>
      </c>
      <c r="E16" s="63">
        <f>IF(TournamentData[[#This Row],[Team Number]]="","",_xlfn.XLOOKUP(TournamentData[[#This Row],[Team Number]],RobotGameScores[Team Number],RobotGameScores[Robot Game 3 Score],0,0,))</f>
        <v>0</v>
      </c>
      <c r="F16" s="63">
        <f>IF(TournamentData[[#This Row],[Team Number]]="","",_xlfn.XLOOKUP(TournamentData[[#This Row],[Team Number]],RobotGameScores[Team Number],RobotGameScores[Robot Game 4 Score],0,0,))</f>
        <v>0</v>
      </c>
      <c r="G16" s="63">
        <f>IF(TournamentData[[#This Row],[Team Number]]="","",_xlfn.XLOOKUP(TournamentData[[#This Row],[Team Number]],RobotGameScores[Team Number],RobotGameScores[Robot Game 5 Score],0,0,))</f>
        <v>0</v>
      </c>
      <c r="H16"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6" s="63">
        <f>IF(TournamentData[[#This Row],[Team Number]]="","",_xlfn.RANK.EQ(TournamentData[[#This Row],[Max Robot Game Score]],TournamentData[Max Robot Game Score]))</f>
        <v>1</v>
      </c>
      <c r="J16" s="63">
        <f>IF(TournamentData[[#This Row],[Team Number]]="","",_xlfn.XLOOKUP(TournamentData[[#This Row],[Team Number]],CoreValuesResults[Team Number],CoreValuesResults[Core Values Rank],NumberOfTeams+1,0,))</f>
        <v>1</v>
      </c>
      <c r="K16" s="63">
        <f>IF(TournamentData[[#This Row],[Team Number]]="","",_xlfn.XLOOKUP(TournamentData[[#This Row],[Team Number]],InnovationProjectResults[Team Number],InnovationProjectResults[Innovation Project Rank],NumberOfTeams+1,0,))</f>
        <v>1</v>
      </c>
      <c r="L16" s="63">
        <f>IF(TournamentData[[#This Row],[Team Number]]="","",_xlfn.XLOOKUP(TournamentData[[#This Row],[Team Number]],RobotDesignResults[Team Number],RobotDesignResults[Robot Design Rank],NumberOfTeams+1,0,))</f>
        <v>1</v>
      </c>
      <c r="M16"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6" s="64">
        <f>IF(TournamentData[[#This Row],[Team Number]]="","",IF(M16,RANK(M16,M$3:M$202,1)-COUNTIF(M$3:M$202,0),NumberOfTeams+1))</f>
        <v>1</v>
      </c>
      <c r="O16" s="70">
        <f>_xlfn.XLOOKUP(TournamentData[[#This Row],[Team Number]],CoreValuesResults[Team Number],CoreValuesResults[Breakthrough Selection],0,0,)</f>
        <v>0</v>
      </c>
      <c r="P16" s="70">
        <f>_xlfn.XLOOKUP(TournamentData[[#This Row],[Team Number]],CoreValuesResults[Team Number],CoreValuesResults[Rising All-Star Selection],0,0,)</f>
        <v>0</v>
      </c>
      <c r="Q16" s="70">
        <f>_xlfn.XLOOKUP(TournamentData[[#This Row],[Team Number]],CoreValuesResults[Team Number],CoreValuesResults[Motivate Selection],0,0,)</f>
        <v>0</v>
      </c>
      <c r="R16" s="66"/>
      <c r="S16" s="66"/>
      <c r="T16" s="67"/>
      <c r="U16" s="63">
        <f>_xlfn.XLOOKUP(TournamentData[[#This Row],[Team Number]],CoreValuesResults[Team Number],CoreValuesResults[Core Values Score],0,0,)</f>
        <v>0</v>
      </c>
      <c r="V16" s="63">
        <f>_xlfn.XLOOKUP(TournamentData[[#This Row],[Team Number]],InnovationProjectResults[Team Number],InnovationProjectResults[Innovation Project Score],0,0,)</f>
        <v>0</v>
      </c>
      <c r="W16" s="63">
        <f>_xlfn.XLOOKUP(TournamentData[[#This Row],[Team Number]],RobotDesignResults[Team Number],RobotDesignResults[Robot Design Score],0,0,)</f>
        <v>0</v>
      </c>
      <c r="X16"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6" s="69">
        <f t="shared" si="0"/>
        <v>0</v>
      </c>
      <c r="Z16" s="66"/>
    </row>
    <row r="17" spans="1:26" ht="21" customHeight="1" x14ac:dyDescent="0.45">
      <c r="A17">
        <f>_xlfn.XLOOKUP(15,OfficialTeamList[Row],OfficialTeamList[Team Number],"ERROR",0)</f>
        <v>0</v>
      </c>
      <c r="B17" s="62" t="str">
        <f>_xlfn.XLOOKUP(TournamentData[[#This Row],[Team Number]],OfficialTeamList[Team Number],OfficialTeamList[Team Name],"",0,)</f>
        <v/>
      </c>
      <c r="C17" s="63">
        <f>IF(TournamentData[[#This Row],[Team Number]]="","",_xlfn.XLOOKUP(TournamentData[[#This Row],[Team Number]],RobotGameScores[Team Number],RobotGameScores[Robot Game 1 Score],0,0,))</f>
        <v>0</v>
      </c>
      <c r="D17" s="63">
        <f>IF(TournamentData[[#This Row],[Team Number]]="","",_xlfn.XLOOKUP(TournamentData[[#This Row],[Team Number]],RobotGameScores[Team Number],RobotGameScores[Robot Game 2 Score],0,0,))</f>
        <v>0</v>
      </c>
      <c r="E17" s="63">
        <f>IF(TournamentData[[#This Row],[Team Number]]="","",_xlfn.XLOOKUP(TournamentData[[#This Row],[Team Number]],RobotGameScores[Team Number],RobotGameScores[Robot Game 3 Score],0,0,))</f>
        <v>0</v>
      </c>
      <c r="F17" s="63">
        <f>IF(TournamentData[[#This Row],[Team Number]]="","",_xlfn.XLOOKUP(TournamentData[[#This Row],[Team Number]],RobotGameScores[Team Number],RobotGameScores[Robot Game 4 Score],0,0,))</f>
        <v>0</v>
      </c>
      <c r="G17" s="63">
        <f>IF(TournamentData[[#This Row],[Team Number]]="","",_xlfn.XLOOKUP(TournamentData[[#This Row],[Team Number]],RobotGameScores[Team Number],RobotGameScores[Robot Game 5 Score],0,0,))</f>
        <v>0</v>
      </c>
      <c r="H17"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7" s="63">
        <f>IF(TournamentData[[#This Row],[Team Number]]="","",_xlfn.RANK.EQ(TournamentData[[#This Row],[Max Robot Game Score]],TournamentData[Max Robot Game Score]))</f>
        <v>1</v>
      </c>
      <c r="J17" s="63">
        <f>IF(TournamentData[[#This Row],[Team Number]]="","",_xlfn.XLOOKUP(TournamentData[[#This Row],[Team Number]],CoreValuesResults[Team Number],CoreValuesResults[Core Values Rank],NumberOfTeams+1,0,))</f>
        <v>1</v>
      </c>
      <c r="K17" s="63">
        <f>IF(TournamentData[[#This Row],[Team Number]]="","",_xlfn.XLOOKUP(TournamentData[[#This Row],[Team Number]],InnovationProjectResults[Team Number],InnovationProjectResults[Innovation Project Rank],NumberOfTeams+1,0,))</f>
        <v>1</v>
      </c>
      <c r="L17" s="63">
        <f>IF(TournamentData[[#This Row],[Team Number]]="","",_xlfn.XLOOKUP(TournamentData[[#This Row],[Team Number]],RobotDesignResults[Team Number],RobotDesignResults[Robot Design Rank],NumberOfTeams+1,0,))</f>
        <v>1</v>
      </c>
      <c r="M17"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7" s="64">
        <f>IF(TournamentData[[#This Row],[Team Number]]="","",IF(M17,RANK(M17,M$3:M$202,1)-COUNTIF(M$3:M$202,0),NumberOfTeams+1))</f>
        <v>1</v>
      </c>
      <c r="O17" s="65">
        <f>_xlfn.XLOOKUP(TournamentData[[#This Row],[Team Number]],CoreValuesResults[Team Number],CoreValuesResults[Breakthrough Selection],0,0,)</f>
        <v>0</v>
      </c>
      <c r="P17" s="65">
        <f>_xlfn.XLOOKUP(TournamentData[[#This Row],[Team Number]],CoreValuesResults[Team Number],CoreValuesResults[Rising All-Star Selection],0,0,)</f>
        <v>0</v>
      </c>
      <c r="Q17" s="65">
        <f>_xlfn.XLOOKUP(TournamentData[[#This Row],[Team Number]],CoreValuesResults[Team Number],CoreValuesResults[Motivate Selection],0,0,)</f>
        <v>0</v>
      </c>
      <c r="R17" s="66"/>
      <c r="S17" s="66"/>
      <c r="T17" s="67"/>
      <c r="U17" s="63">
        <f>_xlfn.XLOOKUP(TournamentData[[#This Row],[Team Number]],CoreValuesResults[Team Number],CoreValuesResults[Core Values Score],0,0,)</f>
        <v>0</v>
      </c>
      <c r="V17" s="63">
        <f>_xlfn.XLOOKUP(TournamentData[[#This Row],[Team Number]],InnovationProjectResults[Team Number],InnovationProjectResults[Innovation Project Score],0,0,)</f>
        <v>0</v>
      </c>
      <c r="W17" s="63">
        <f>_xlfn.XLOOKUP(TournamentData[[#This Row],[Team Number]],RobotDesignResults[Team Number],RobotDesignResults[Robot Design Score],0,0,)</f>
        <v>0</v>
      </c>
      <c r="X17"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7" s="69">
        <f t="shared" si="0"/>
        <v>0</v>
      </c>
      <c r="Z17" s="66"/>
    </row>
    <row r="18" spans="1:26" ht="21" customHeight="1" x14ac:dyDescent="0.45">
      <c r="A18">
        <f>_xlfn.XLOOKUP(16,OfficialTeamList[Row],OfficialTeamList[Team Number],"ERROR",0)</f>
        <v>0</v>
      </c>
      <c r="B18" s="62" t="str">
        <f>_xlfn.XLOOKUP(TournamentData[[#This Row],[Team Number]],OfficialTeamList[Team Number],OfficialTeamList[Team Name],"",0,)</f>
        <v/>
      </c>
      <c r="C18" s="63">
        <f>IF(TournamentData[[#This Row],[Team Number]]="","",_xlfn.XLOOKUP(TournamentData[[#This Row],[Team Number]],RobotGameScores[Team Number],RobotGameScores[Robot Game 1 Score],0,0,))</f>
        <v>0</v>
      </c>
      <c r="D18" s="63">
        <f>IF(TournamentData[[#This Row],[Team Number]]="","",_xlfn.XLOOKUP(TournamentData[[#This Row],[Team Number]],RobotGameScores[Team Number],RobotGameScores[Robot Game 2 Score],0,0,))</f>
        <v>0</v>
      </c>
      <c r="E18" s="63">
        <f>IF(TournamentData[[#This Row],[Team Number]]="","",_xlfn.XLOOKUP(TournamentData[[#This Row],[Team Number]],RobotGameScores[Team Number],RobotGameScores[Robot Game 3 Score],0,0,))</f>
        <v>0</v>
      </c>
      <c r="F18" s="63">
        <f>IF(TournamentData[[#This Row],[Team Number]]="","",_xlfn.XLOOKUP(TournamentData[[#This Row],[Team Number]],RobotGameScores[Team Number],RobotGameScores[Robot Game 4 Score],0,0,))</f>
        <v>0</v>
      </c>
      <c r="G18" s="63">
        <f>IF(TournamentData[[#This Row],[Team Number]]="","",_xlfn.XLOOKUP(TournamentData[[#This Row],[Team Number]],RobotGameScores[Team Number],RobotGameScores[Robot Game 5 Score],0,0,))</f>
        <v>0</v>
      </c>
      <c r="H18"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8" s="63">
        <f>IF(TournamentData[[#This Row],[Team Number]]="","",_xlfn.RANK.EQ(TournamentData[[#This Row],[Max Robot Game Score]],TournamentData[Max Robot Game Score]))</f>
        <v>1</v>
      </c>
      <c r="J18" s="63">
        <f>IF(TournamentData[[#This Row],[Team Number]]="","",_xlfn.XLOOKUP(TournamentData[[#This Row],[Team Number]],CoreValuesResults[Team Number],CoreValuesResults[Core Values Rank],NumberOfTeams+1,0,))</f>
        <v>1</v>
      </c>
      <c r="K18" s="63">
        <f>IF(TournamentData[[#This Row],[Team Number]]="","",_xlfn.XLOOKUP(TournamentData[[#This Row],[Team Number]],InnovationProjectResults[Team Number],InnovationProjectResults[Innovation Project Rank],NumberOfTeams+1,0,))</f>
        <v>1</v>
      </c>
      <c r="L18" s="63">
        <f>IF(TournamentData[[#This Row],[Team Number]]="","",_xlfn.XLOOKUP(TournamentData[[#This Row],[Team Number]],RobotDesignResults[Team Number],RobotDesignResults[Robot Design Rank],NumberOfTeams+1,0,))</f>
        <v>1</v>
      </c>
      <c r="M18"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8" s="64">
        <f>IF(TournamentData[[#This Row],[Team Number]]="","",IF(M18,RANK(M18,M$3:M$202,1)-COUNTIF(M$3:M$202,0),NumberOfTeams+1))</f>
        <v>1</v>
      </c>
      <c r="O18" s="65">
        <f>_xlfn.XLOOKUP(TournamentData[[#This Row],[Team Number]],CoreValuesResults[Team Number],CoreValuesResults[Breakthrough Selection],0,0,)</f>
        <v>0</v>
      </c>
      <c r="P18" s="65">
        <f>_xlfn.XLOOKUP(TournamentData[[#This Row],[Team Number]],CoreValuesResults[Team Number],CoreValuesResults[Rising All-Star Selection],0,0,)</f>
        <v>0</v>
      </c>
      <c r="Q18" s="65">
        <f>_xlfn.XLOOKUP(TournamentData[[#This Row],[Team Number]],CoreValuesResults[Team Number],CoreValuesResults[Motivate Selection],0,0,)</f>
        <v>0</v>
      </c>
      <c r="R18" s="66"/>
      <c r="S18" s="66"/>
      <c r="T18" s="67"/>
      <c r="U18" s="63">
        <f>_xlfn.XLOOKUP(TournamentData[[#This Row],[Team Number]],CoreValuesResults[Team Number],CoreValuesResults[Core Values Score],0,0,)</f>
        <v>0</v>
      </c>
      <c r="V18" s="63">
        <f>_xlfn.XLOOKUP(TournamentData[[#This Row],[Team Number]],InnovationProjectResults[Team Number],InnovationProjectResults[Innovation Project Score],0,0,)</f>
        <v>0</v>
      </c>
      <c r="W18" s="63">
        <f>_xlfn.XLOOKUP(TournamentData[[#This Row],[Team Number]],RobotDesignResults[Team Number],RobotDesignResults[Robot Design Score],0,0,)</f>
        <v>0</v>
      </c>
      <c r="X18"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8" s="69">
        <f t="shared" si="0"/>
        <v>0</v>
      </c>
      <c r="Z18" s="66"/>
    </row>
    <row r="19" spans="1:26" ht="21" customHeight="1" x14ac:dyDescent="0.45">
      <c r="A19">
        <f>_xlfn.XLOOKUP(17,OfficialTeamList[Row],OfficialTeamList[Team Number],"ERROR",0)</f>
        <v>0</v>
      </c>
      <c r="B19" s="62" t="str">
        <f>_xlfn.XLOOKUP(TournamentData[[#This Row],[Team Number]],OfficialTeamList[Team Number],OfficialTeamList[Team Name],"",0,)</f>
        <v/>
      </c>
      <c r="C19" s="63">
        <f>IF(TournamentData[[#This Row],[Team Number]]="","",_xlfn.XLOOKUP(TournamentData[[#This Row],[Team Number]],RobotGameScores[Team Number],RobotGameScores[Robot Game 1 Score],0,0,))</f>
        <v>0</v>
      </c>
      <c r="D19" s="63">
        <f>IF(TournamentData[[#This Row],[Team Number]]="","",_xlfn.XLOOKUP(TournamentData[[#This Row],[Team Number]],RobotGameScores[Team Number],RobotGameScores[Robot Game 2 Score],0,0,))</f>
        <v>0</v>
      </c>
      <c r="E19" s="63">
        <f>IF(TournamentData[[#This Row],[Team Number]]="","",_xlfn.XLOOKUP(TournamentData[[#This Row],[Team Number]],RobotGameScores[Team Number],RobotGameScores[Robot Game 3 Score],0,0,))</f>
        <v>0</v>
      </c>
      <c r="F19" s="63">
        <f>IF(TournamentData[[#This Row],[Team Number]]="","",_xlfn.XLOOKUP(TournamentData[[#This Row],[Team Number]],RobotGameScores[Team Number],RobotGameScores[Robot Game 4 Score],0,0,))</f>
        <v>0</v>
      </c>
      <c r="G19" s="63">
        <f>IF(TournamentData[[#This Row],[Team Number]]="","",_xlfn.XLOOKUP(TournamentData[[#This Row],[Team Number]],RobotGameScores[Team Number],RobotGameScores[Robot Game 5 Score],0,0,))</f>
        <v>0</v>
      </c>
      <c r="H19"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9" s="63">
        <f>IF(TournamentData[[#This Row],[Team Number]]="","",_xlfn.RANK.EQ(TournamentData[[#This Row],[Max Robot Game Score]],TournamentData[Max Robot Game Score]))</f>
        <v>1</v>
      </c>
      <c r="J19" s="63">
        <f>IF(TournamentData[[#This Row],[Team Number]]="","",_xlfn.XLOOKUP(TournamentData[[#This Row],[Team Number]],CoreValuesResults[Team Number],CoreValuesResults[Core Values Rank],NumberOfTeams+1,0,))</f>
        <v>1</v>
      </c>
      <c r="K19" s="63">
        <f>IF(TournamentData[[#This Row],[Team Number]]="","",_xlfn.XLOOKUP(TournamentData[[#This Row],[Team Number]],InnovationProjectResults[Team Number],InnovationProjectResults[Innovation Project Rank],NumberOfTeams+1,0,))</f>
        <v>1</v>
      </c>
      <c r="L19" s="63">
        <f>IF(TournamentData[[#This Row],[Team Number]]="","",_xlfn.XLOOKUP(TournamentData[[#This Row],[Team Number]],RobotDesignResults[Team Number],RobotDesignResults[Robot Design Rank],NumberOfTeams+1,0,))</f>
        <v>1</v>
      </c>
      <c r="M19"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9" s="64">
        <f>IF(TournamentData[[#This Row],[Team Number]]="","",IF(M19,RANK(M19,M$3:M$202,1)-COUNTIF(M$3:M$202,0),NumberOfTeams+1))</f>
        <v>1</v>
      </c>
      <c r="O19" s="65">
        <f>_xlfn.XLOOKUP(TournamentData[[#This Row],[Team Number]],CoreValuesResults[Team Number],CoreValuesResults[Breakthrough Selection],0,0,)</f>
        <v>0</v>
      </c>
      <c r="P19" s="65">
        <f>_xlfn.XLOOKUP(TournamentData[[#This Row],[Team Number]],CoreValuesResults[Team Number],CoreValuesResults[Rising All-Star Selection],0,0,)</f>
        <v>0</v>
      </c>
      <c r="Q19" s="65">
        <f>_xlfn.XLOOKUP(TournamentData[[#This Row],[Team Number]],CoreValuesResults[Team Number],CoreValuesResults[Motivate Selection],0,0,)</f>
        <v>0</v>
      </c>
      <c r="R19" s="66"/>
      <c r="S19" s="66"/>
      <c r="T19" s="67"/>
      <c r="U19" s="63">
        <f>_xlfn.XLOOKUP(TournamentData[[#This Row],[Team Number]],CoreValuesResults[Team Number],CoreValuesResults[Core Values Score],0,0,)</f>
        <v>0</v>
      </c>
      <c r="V19" s="63">
        <f>_xlfn.XLOOKUP(TournamentData[[#This Row],[Team Number]],InnovationProjectResults[Team Number],InnovationProjectResults[Innovation Project Score],0,0,)</f>
        <v>0</v>
      </c>
      <c r="W19" s="63">
        <f>_xlfn.XLOOKUP(TournamentData[[#This Row],[Team Number]],RobotDesignResults[Team Number],RobotDesignResults[Robot Design Score],0,0,)</f>
        <v>0</v>
      </c>
      <c r="X19"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9" s="69">
        <f t="shared" si="0"/>
        <v>0</v>
      </c>
      <c r="Z19" s="66"/>
    </row>
    <row r="20" spans="1:26" ht="21" customHeight="1" x14ac:dyDescent="0.45">
      <c r="A20">
        <f>_xlfn.XLOOKUP(18,OfficialTeamList[Row],OfficialTeamList[Team Number],"ERROR",0)</f>
        <v>0</v>
      </c>
      <c r="B20" s="62" t="str">
        <f>_xlfn.XLOOKUP(TournamentData[[#This Row],[Team Number]],OfficialTeamList[Team Number],OfficialTeamList[Team Name],"",0,)</f>
        <v/>
      </c>
      <c r="C20" s="63">
        <f>IF(TournamentData[[#This Row],[Team Number]]="","",_xlfn.XLOOKUP(TournamentData[[#This Row],[Team Number]],RobotGameScores[Team Number],RobotGameScores[Robot Game 1 Score],0,0,))</f>
        <v>0</v>
      </c>
      <c r="D20" s="63">
        <f>IF(TournamentData[[#This Row],[Team Number]]="","",_xlfn.XLOOKUP(TournamentData[[#This Row],[Team Number]],RobotGameScores[Team Number],RobotGameScores[Robot Game 2 Score],0,0,))</f>
        <v>0</v>
      </c>
      <c r="E20" s="63">
        <f>IF(TournamentData[[#This Row],[Team Number]]="","",_xlfn.XLOOKUP(TournamentData[[#This Row],[Team Number]],RobotGameScores[Team Number],RobotGameScores[Robot Game 3 Score],0,0,))</f>
        <v>0</v>
      </c>
      <c r="F20" s="63">
        <f>IF(TournamentData[[#This Row],[Team Number]]="","",_xlfn.XLOOKUP(TournamentData[[#This Row],[Team Number]],RobotGameScores[Team Number],RobotGameScores[Robot Game 4 Score],0,0,))</f>
        <v>0</v>
      </c>
      <c r="G20" s="63">
        <f>IF(TournamentData[[#This Row],[Team Number]]="","",_xlfn.XLOOKUP(TournamentData[[#This Row],[Team Number]],RobotGameScores[Team Number],RobotGameScores[Robot Game 5 Score],0,0,))</f>
        <v>0</v>
      </c>
      <c r="H20"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20" s="63">
        <f>IF(TournamentData[[#This Row],[Team Number]]="","",_xlfn.RANK.EQ(TournamentData[[#This Row],[Max Robot Game Score]],TournamentData[Max Robot Game Score]))</f>
        <v>1</v>
      </c>
      <c r="J20" s="63">
        <f>IF(TournamentData[[#This Row],[Team Number]]="","",_xlfn.XLOOKUP(TournamentData[[#This Row],[Team Number]],CoreValuesResults[Team Number],CoreValuesResults[Core Values Rank],NumberOfTeams+1,0,))</f>
        <v>1</v>
      </c>
      <c r="K20" s="63">
        <f>IF(TournamentData[[#This Row],[Team Number]]="","",_xlfn.XLOOKUP(TournamentData[[#This Row],[Team Number]],InnovationProjectResults[Team Number],InnovationProjectResults[Innovation Project Rank],NumberOfTeams+1,0,))</f>
        <v>1</v>
      </c>
      <c r="L20" s="63">
        <f>IF(TournamentData[[#This Row],[Team Number]]="","",_xlfn.XLOOKUP(TournamentData[[#This Row],[Team Number]],RobotDesignResults[Team Number],RobotDesignResults[Robot Design Rank],NumberOfTeams+1,0,))</f>
        <v>1</v>
      </c>
      <c r="M20"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20" s="64">
        <f>IF(TournamentData[[#This Row],[Team Number]]="","",IF(M20,RANK(M20,M$3:M$202,1)-COUNTIF(M$3:M$202,0),NumberOfTeams+1))</f>
        <v>1</v>
      </c>
      <c r="O20" s="65">
        <f>_xlfn.XLOOKUP(TournamentData[[#This Row],[Team Number]],CoreValuesResults[Team Number],CoreValuesResults[Breakthrough Selection],0,0,)</f>
        <v>0</v>
      </c>
      <c r="P20" s="65">
        <f>_xlfn.XLOOKUP(TournamentData[[#This Row],[Team Number]],CoreValuesResults[Team Number],CoreValuesResults[Rising All-Star Selection],0,0,)</f>
        <v>0</v>
      </c>
      <c r="Q20" s="65">
        <f>_xlfn.XLOOKUP(TournamentData[[#This Row],[Team Number]],CoreValuesResults[Team Number],CoreValuesResults[Motivate Selection],0,0,)</f>
        <v>0</v>
      </c>
      <c r="R20" s="66"/>
      <c r="S20" s="66"/>
      <c r="T20" s="67"/>
      <c r="U20" s="63">
        <f>_xlfn.XLOOKUP(TournamentData[[#This Row],[Team Number]],CoreValuesResults[Team Number],CoreValuesResults[Core Values Score],0,0,)</f>
        <v>0</v>
      </c>
      <c r="V20" s="63">
        <f>_xlfn.XLOOKUP(TournamentData[[#This Row],[Team Number]],InnovationProjectResults[Team Number],InnovationProjectResults[Innovation Project Score],0,0,)</f>
        <v>0</v>
      </c>
      <c r="W20" s="63">
        <f>_xlfn.XLOOKUP(TournamentData[[#This Row],[Team Number]],RobotDesignResults[Team Number],RobotDesignResults[Robot Design Score],0,0,)</f>
        <v>0</v>
      </c>
      <c r="X20"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20" s="69">
        <f t="shared" si="0"/>
        <v>0</v>
      </c>
      <c r="Z20" s="66"/>
    </row>
    <row r="21" spans="1:26" ht="21" customHeight="1" x14ac:dyDescent="0.45">
      <c r="A21">
        <f>_xlfn.XLOOKUP(19,OfficialTeamList[Row],OfficialTeamList[Team Number],"ERROR",0)</f>
        <v>0</v>
      </c>
      <c r="B21" s="62" t="str">
        <f>_xlfn.XLOOKUP(TournamentData[[#This Row],[Team Number]],OfficialTeamList[Team Number],OfficialTeamList[Team Name],"",0,)</f>
        <v/>
      </c>
      <c r="C21" s="63">
        <f>IF(TournamentData[[#This Row],[Team Number]]="","",_xlfn.XLOOKUP(TournamentData[[#This Row],[Team Number]],RobotGameScores[Team Number],RobotGameScores[Robot Game 1 Score],0,0,))</f>
        <v>0</v>
      </c>
      <c r="D21" s="63">
        <f>IF(TournamentData[[#This Row],[Team Number]]="","",_xlfn.XLOOKUP(TournamentData[[#This Row],[Team Number]],RobotGameScores[Team Number],RobotGameScores[Robot Game 2 Score],0,0,))</f>
        <v>0</v>
      </c>
      <c r="E21" s="63">
        <f>IF(TournamentData[[#This Row],[Team Number]]="","",_xlfn.XLOOKUP(TournamentData[[#This Row],[Team Number]],RobotGameScores[Team Number],RobotGameScores[Robot Game 3 Score],0,0,))</f>
        <v>0</v>
      </c>
      <c r="F21" s="63">
        <f>IF(TournamentData[[#This Row],[Team Number]]="","",_xlfn.XLOOKUP(TournamentData[[#This Row],[Team Number]],RobotGameScores[Team Number],RobotGameScores[Robot Game 4 Score],0,0,))</f>
        <v>0</v>
      </c>
      <c r="G21" s="63">
        <f>IF(TournamentData[[#This Row],[Team Number]]="","",_xlfn.XLOOKUP(TournamentData[[#This Row],[Team Number]],RobotGameScores[Team Number],RobotGameScores[Robot Game 5 Score],0,0,))</f>
        <v>0</v>
      </c>
      <c r="H21"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21" s="63">
        <f>IF(TournamentData[[#This Row],[Team Number]]="","",_xlfn.RANK.EQ(TournamentData[[#This Row],[Max Robot Game Score]],TournamentData[Max Robot Game Score]))</f>
        <v>1</v>
      </c>
      <c r="J21" s="63">
        <f>IF(TournamentData[[#This Row],[Team Number]]="","",_xlfn.XLOOKUP(TournamentData[[#This Row],[Team Number]],CoreValuesResults[Team Number],CoreValuesResults[Core Values Rank],NumberOfTeams+1,0,))</f>
        <v>1</v>
      </c>
      <c r="K21" s="63">
        <f>IF(TournamentData[[#This Row],[Team Number]]="","",_xlfn.XLOOKUP(TournamentData[[#This Row],[Team Number]],InnovationProjectResults[Team Number],InnovationProjectResults[Innovation Project Rank],NumberOfTeams+1,0,))</f>
        <v>1</v>
      </c>
      <c r="L21" s="63">
        <f>IF(TournamentData[[#This Row],[Team Number]]="","",_xlfn.XLOOKUP(TournamentData[[#This Row],[Team Number]],RobotDesignResults[Team Number],RobotDesignResults[Robot Design Rank],NumberOfTeams+1,0,))</f>
        <v>1</v>
      </c>
      <c r="M21"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21" s="64">
        <f>IF(TournamentData[[#This Row],[Team Number]]="","",IF(M21,RANK(M21,M$3:M$202,1)-COUNTIF(M$3:M$202,0),NumberOfTeams+1))</f>
        <v>1</v>
      </c>
      <c r="O21" s="65">
        <f>_xlfn.XLOOKUP(TournamentData[[#This Row],[Team Number]],CoreValuesResults[Team Number],CoreValuesResults[Breakthrough Selection],0,0,)</f>
        <v>0</v>
      </c>
      <c r="P21" s="65">
        <f>_xlfn.XLOOKUP(TournamentData[[#This Row],[Team Number]],CoreValuesResults[Team Number],CoreValuesResults[Rising All-Star Selection],0,0,)</f>
        <v>0</v>
      </c>
      <c r="Q21" s="65">
        <f>_xlfn.XLOOKUP(TournamentData[[#This Row],[Team Number]],CoreValuesResults[Team Number],CoreValuesResults[Motivate Selection],0,0,)</f>
        <v>0</v>
      </c>
      <c r="R21" s="66"/>
      <c r="S21" s="66"/>
      <c r="T21" s="67"/>
      <c r="U21" s="63">
        <f>_xlfn.XLOOKUP(TournamentData[[#This Row],[Team Number]],CoreValuesResults[Team Number],CoreValuesResults[Core Values Score],0,0,)</f>
        <v>0</v>
      </c>
      <c r="V21" s="63">
        <f>_xlfn.XLOOKUP(TournamentData[[#This Row],[Team Number]],InnovationProjectResults[Team Number],InnovationProjectResults[Innovation Project Score],0,0,)</f>
        <v>0</v>
      </c>
      <c r="W21" s="63">
        <f>_xlfn.XLOOKUP(TournamentData[[#This Row],[Team Number]],RobotDesignResults[Team Number],RobotDesignResults[Robot Design Score],0,0,)</f>
        <v>0</v>
      </c>
      <c r="X21"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21" s="69">
        <f t="shared" si="0"/>
        <v>0</v>
      </c>
      <c r="Z21" s="66"/>
    </row>
    <row r="22" spans="1:26" ht="21" customHeight="1" x14ac:dyDescent="0.45">
      <c r="A22">
        <f>_xlfn.XLOOKUP(20,OfficialTeamList[Row],OfficialTeamList[Team Number],"ERROR",0)</f>
        <v>0</v>
      </c>
      <c r="B22" s="62" t="str">
        <f>_xlfn.XLOOKUP(TournamentData[[#This Row],[Team Number]],OfficialTeamList[Team Number],OfficialTeamList[Team Name],"",0,)</f>
        <v/>
      </c>
      <c r="C22" s="63">
        <f>IF(TournamentData[[#This Row],[Team Number]]="","",_xlfn.XLOOKUP(TournamentData[[#This Row],[Team Number]],RobotGameScores[Team Number],RobotGameScores[Robot Game 1 Score],0,0,))</f>
        <v>0</v>
      </c>
      <c r="D22" s="63">
        <f>IF(TournamentData[[#This Row],[Team Number]]="","",_xlfn.XLOOKUP(TournamentData[[#This Row],[Team Number]],RobotGameScores[Team Number],RobotGameScores[Robot Game 2 Score],0,0,))</f>
        <v>0</v>
      </c>
      <c r="E22" s="63">
        <f>IF(TournamentData[[#This Row],[Team Number]]="","",_xlfn.XLOOKUP(TournamentData[[#This Row],[Team Number]],RobotGameScores[Team Number],RobotGameScores[Robot Game 3 Score],0,0,))</f>
        <v>0</v>
      </c>
      <c r="F22" s="63">
        <f>IF(TournamentData[[#This Row],[Team Number]]="","",_xlfn.XLOOKUP(TournamentData[[#This Row],[Team Number]],RobotGameScores[Team Number],RobotGameScores[Robot Game 4 Score],0,0,))</f>
        <v>0</v>
      </c>
      <c r="G22" s="63">
        <f>IF(TournamentData[[#This Row],[Team Number]]="","",_xlfn.XLOOKUP(TournamentData[[#This Row],[Team Number]],RobotGameScores[Team Number],RobotGameScores[Robot Game 5 Score],0,0,))</f>
        <v>0</v>
      </c>
      <c r="H22"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22" s="63">
        <f>IF(TournamentData[[#This Row],[Team Number]]="","",_xlfn.RANK.EQ(TournamentData[[#This Row],[Max Robot Game Score]],TournamentData[Max Robot Game Score]))</f>
        <v>1</v>
      </c>
      <c r="J22" s="63">
        <f>IF(TournamentData[[#This Row],[Team Number]]="","",_xlfn.XLOOKUP(TournamentData[[#This Row],[Team Number]],CoreValuesResults[Team Number],CoreValuesResults[Core Values Rank],NumberOfTeams+1,0,))</f>
        <v>1</v>
      </c>
      <c r="K22" s="63">
        <f>IF(TournamentData[[#This Row],[Team Number]]="","",_xlfn.XLOOKUP(TournamentData[[#This Row],[Team Number]],InnovationProjectResults[Team Number],InnovationProjectResults[Innovation Project Rank],NumberOfTeams+1,0,))</f>
        <v>1</v>
      </c>
      <c r="L22" s="63">
        <f>IF(TournamentData[[#This Row],[Team Number]]="","",_xlfn.XLOOKUP(TournamentData[[#This Row],[Team Number]],RobotDesignResults[Team Number],RobotDesignResults[Robot Design Rank],NumberOfTeams+1,0,))</f>
        <v>1</v>
      </c>
      <c r="M22"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22" s="64">
        <f>IF(TournamentData[[#This Row],[Team Number]]="","",IF(M22,RANK(M22,M$3:M$202,1)-COUNTIF(M$3:M$202,0),NumberOfTeams+1))</f>
        <v>1</v>
      </c>
      <c r="O22" s="65">
        <f>_xlfn.XLOOKUP(TournamentData[[#This Row],[Team Number]],CoreValuesResults[Team Number],CoreValuesResults[Breakthrough Selection],0,0,)</f>
        <v>0</v>
      </c>
      <c r="P22" s="65">
        <f>_xlfn.XLOOKUP(TournamentData[[#This Row],[Team Number]],CoreValuesResults[Team Number],CoreValuesResults[Rising All-Star Selection],0,0,)</f>
        <v>0</v>
      </c>
      <c r="Q22" s="65">
        <f>_xlfn.XLOOKUP(TournamentData[[#This Row],[Team Number]],CoreValuesResults[Team Number],CoreValuesResults[Motivate Selection],0,0,)</f>
        <v>0</v>
      </c>
      <c r="R22" s="66"/>
      <c r="S22" s="66"/>
      <c r="T22" s="67"/>
      <c r="U22" s="63">
        <f>_xlfn.XLOOKUP(TournamentData[[#This Row],[Team Number]],CoreValuesResults[Team Number],CoreValuesResults[Core Values Score],0,0,)</f>
        <v>0</v>
      </c>
      <c r="V22" s="63">
        <f>_xlfn.XLOOKUP(TournamentData[[#This Row],[Team Number]],InnovationProjectResults[Team Number],InnovationProjectResults[Innovation Project Score],0,0,)</f>
        <v>0</v>
      </c>
      <c r="W22" s="63">
        <f>_xlfn.XLOOKUP(TournamentData[[#This Row],[Team Number]],RobotDesignResults[Team Number],RobotDesignResults[Robot Design Score],0,0,)</f>
        <v>0</v>
      </c>
      <c r="X22"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22" s="69">
        <f t="shared" si="0"/>
        <v>0</v>
      </c>
      <c r="Z22" s="66"/>
    </row>
    <row r="23" spans="1:26" ht="21" customHeight="1" x14ac:dyDescent="0.45">
      <c r="A23">
        <f>_xlfn.XLOOKUP(21,OfficialTeamList[Row],OfficialTeamList[Team Number],"ERROR",0)</f>
        <v>0</v>
      </c>
      <c r="B23" s="62" t="str">
        <f>_xlfn.XLOOKUP(TournamentData[[#This Row],[Team Number]],OfficialTeamList[Team Number],OfficialTeamList[Team Name],"",0,)</f>
        <v/>
      </c>
      <c r="C23" s="63">
        <f>IF(TournamentData[[#This Row],[Team Number]]="","",_xlfn.XLOOKUP(TournamentData[[#This Row],[Team Number]],RobotGameScores[Team Number],RobotGameScores[Robot Game 1 Score],0,0,))</f>
        <v>0</v>
      </c>
      <c r="D23" s="63">
        <f>IF(TournamentData[[#This Row],[Team Number]]="","",_xlfn.XLOOKUP(TournamentData[[#This Row],[Team Number]],RobotGameScores[Team Number],RobotGameScores[Robot Game 2 Score],0,0,))</f>
        <v>0</v>
      </c>
      <c r="E23" s="63">
        <f>IF(TournamentData[[#This Row],[Team Number]]="","",_xlfn.XLOOKUP(TournamentData[[#This Row],[Team Number]],RobotGameScores[Team Number],RobotGameScores[Robot Game 3 Score],0,0,))</f>
        <v>0</v>
      </c>
      <c r="F23" s="63">
        <f>IF(TournamentData[[#This Row],[Team Number]]="","",_xlfn.XLOOKUP(TournamentData[[#This Row],[Team Number]],RobotGameScores[Team Number],RobotGameScores[Robot Game 4 Score],0,0,))</f>
        <v>0</v>
      </c>
      <c r="G23" s="63">
        <f>IF(TournamentData[[#This Row],[Team Number]]="","",_xlfn.XLOOKUP(TournamentData[[#This Row],[Team Number]],RobotGameScores[Team Number],RobotGameScores[Robot Game 5 Score],0,0,))</f>
        <v>0</v>
      </c>
      <c r="H23"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23" s="63">
        <f>IF(TournamentData[[#This Row],[Team Number]]="","",_xlfn.RANK.EQ(TournamentData[[#This Row],[Max Robot Game Score]],TournamentData[Max Robot Game Score]))</f>
        <v>1</v>
      </c>
      <c r="J23" s="63">
        <f>IF(TournamentData[[#This Row],[Team Number]]="","",_xlfn.XLOOKUP(TournamentData[[#This Row],[Team Number]],CoreValuesResults[Team Number],CoreValuesResults[Core Values Rank],NumberOfTeams+1,0,))</f>
        <v>1</v>
      </c>
      <c r="K23" s="63">
        <f>IF(TournamentData[[#This Row],[Team Number]]="","",_xlfn.XLOOKUP(TournamentData[[#This Row],[Team Number]],InnovationProjectResults[Team Number],InnovationProjectResults[Innovation Project Rank],NumberOfTeams+1,0,))</f>
        <v>1</v>
      </c>
      <c r="L23" s="63">
        <f>IF(TournamentData[[#This Row],[Team Number]]="","",_xlfn.XLOOKUP(TournamentData[[#This Row],[Team Number]],RobotDesignResults[Team Number],RobotDesignResults[Robot Design Rank],NumberOfTeams+1,0,))</f>
        <v>1</v>
      </c>
      <c r="M23"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23" s="64">
        <f>IF(TournamentData[[#This Row],[Team Number]]="","",IF(M23,RANK(M23,M$3:M$202,1)-COUNTIF(M$3:M$202,0),NumberOfTeams+1))</f>
        <v>1</v>
      </c>
      <c r="O23" s="65">
        <f>_xlfn.XLOOKUP(TournamentData[[#This Row],[Team Number]],CoreValuesResults[Team Number],CoreValuesResults[Breakthrough Selection],0,0,)</f>
        <v>0</v>
      </c>
      <c r="P23" s="65">
        <f>_xlfn.XLOOKUP(TournamentData[[#This Row],[Team Number]],CoreValuesResults[Team Number],CoreValuesResults[Rising All-Star Selection],0,0,)</f>
        <v>0</v>
      </c>
      <c r="Q23" s="65">
        <f>_xlfn.XLOOKUP(TournamentData[[#This Row],[Team Number]],CoreValuesResults[Team Number],CoreValuesResults[Motivate Selection],0,0,)</f>
        <v>0</v>
      </c>
      <c r="R23" s="66"/>
      <c r="S23" s="66"/>
      <c r="T23" s="67"/>
      <c r="U23" s="63">
        <f>_xlfn.XLOOKUP(TournamentData[[#This Row],[Team Number]],CoreValuesResults[Team Number],CoreValuesResults[Core Values Score],0,0,)</f>
        <v>0</v>
      </c>
      <c r="V23" s="63">
        <f>_xlfn.XLOOKUP(TournamentData[[#This Row],[Team Number]],InnovationProjectResults[Team Number],InnovationProjectResults[Innovation Project Score],0,0,)</f>
        <v>0</v>
      </c>
      <c r="W23" s="63">
        <f>_xlfn.XLOOKUP(TournamentData[[#This Row],[Team Number]],RobotDesignResults[Team Number],RobotDesignResults[Robot Design Score],0,0,)</f>
        <v>0</v>
      </c>
      <c r="X23"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23" s="69">
        <f t="shared" si="0"/>
        <v>0</v>
      </c>
      <c r="Z23" s="66"/>
    </row>
    <row r="24" spans="1:26" ht="21" customHeight="1" x14ac:dyDescent="0.45">
      <c r="A24">
        <f>_xlfn.XLOOKUP(22,OfficialTeamList[Row],OfficialTeamList[Team Number],"ERROR",0)</f>
        <v>0</v>
      </c>
      <c r="B24" s="62" t="str">
        <f>_xlfn.XLOOKUP(TournamentData[[#This Row],[Team Number]],OfficialTeamList[Team Number],OfficialTeamList[Team Name],"",0,)</f>
        <v/>
      </c>
      <c r="C24" s="63">
        <f>IF(TournamentData[[#This Row],[Team Number]]="","",_xlfn.XLOOKUP(TournamentData[[#This Row],[Team Number]],RobotGameScores[Team Number],RobotGameScores[Robot Game 1 Score],0,0,))</f>
        <v>0</v>
      </c>
      <c r="D24" s="63">
        <f>IF(TournamentData[[#This Row],[Team Number]]="","",_xlfn.XLOOKUP(TournamentData[[#This Row],[Team Number]],RobotGameScores[Team Number],RobotGameScores[Robot Game 2 Score],0,0,))</f>
        <v>0</v>
      </c>
      <c r="E24" s="63">
        <f>IF(TournamentData[[#This Row],[Team Number]]="","",_xlfn.XLOOKUP(TournamentData[[#This Row],[Team Number]],RobotGameScores[Team Number],RobotGameScores[Robot Game 3 Score],0,0,))</f>
        <v>0</v>
      </c>
      <c r="F24" s="63">
        <f>IF(TournamentData[[#This Row],[Team Number]]="","",_xlfn.XLOOKUP(TournamentData[[#This Row],[Team Number]],RobotGameScores[Team Number],RobotGameScores[Robot Game 4 Score],0,0,))</f>
        <v>0</v>
      </c>
      <c r="G24" s="63">
        <f>IF(TournamentData[[#This Row],[Team Number]]="","",_xlfn.XLOOKUP(TournamentData[[#This Row],[Team Number]],RobotGameScores[Team Number],RobotGameScores[Robot Game 5 Score],0,0,))</f>
        <v>0</v>
      </c>
      <c r="H24"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24" s="63">
        <f>IF(TournamentData[[#This Row],[Team Number]]="","",_xlfn.RANK.EQ(TournamentData[[#This Row],[Max Robot Game Score]],TournamentData[Max Robot Game Score]))</f>
        <v>1</v>
      </c>
      <c r="J24" s="63">
        <f>IF(TournamentData[[#This Row],[Team Number]]="","",_xlfn.XLOOKUP(TournamentData[[#This Row],[Team Number]],CoreValuesResults[Team Number],CoreValuesResults[Core Values Rank],NumberOfTeams+1,0,))</f>
        <v>1</v>
      </c>
      <c r="K24" s="63">
        <f>IF(TournamentData[[#This Row],[Team Number]]="","",_xlfn.XLOOKUP(TournamentData[[#This Row],[Team Number]],InnovationProjectResults[Team Number],InnovationProjectResults[Innovation Project Rank],NumberOfTeams+1,0,))</f>
        <v>1</v>
      </c>
      <c r="L24" s="63">
        <f>IF(TournamentData[[#This Row],[Team Number]]="","",_xlfn.XLOOKUP(TournamentData[[#This Row],[Team Number]],RobotDesignResults[Team Number],RobotDesignResults[Robot Design Rank],NumberOfTeams+1,0,))</f>
        <v>1</v>
      </c>
      <c r="M24"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24" s="64">
        <f>IF(TournamentData[[#This Row],[Team Number]]="","",IF(M24,RANK(M24,M$3:M$202,1)-COUNTIF(M$3:M$202,0),NumberOfTeams+1))</f>
        <v>1</v>
      </c>
      <c r="O24" s="65">
        <f>_xlfn.XLOOKUP(TournamentData[[#This Row],[Team Number]],CoreValuesResults[Team Number],CoreValuesResults[Breakthrough Selection],0,0,)</f>
        <v>0</v>
      </c>
      <c r="P24" s="65">
        <f>_xlfn.XLOOKUP(TournamentData[[#This Row],[Team Number]],CoreValuesResults[Team Number],CoreValuesResults[Rising All-Star Selection],0,0,)</f>
        <v>0</v>
      </c>
      <c r="Q24" s="65">
        <f>_xlfn.XLOOKUP(TournamentData[[#This Row],[Team Number]],CoreValuesResults[Team Number],CoreValuesResults[Motivate Selection],0,0,)</f>
        <v>0</v>
      </c>
      <c r="R24" s="66"/>
      <c r="S24" s="66"/>
      <c r="T24" s="67"/>
      <c r="U24" s="63">
        <f>_xlfn.XLOOKUP(TournamentData[[#This Row],[Team Number]],CoreValuesResults[Team Number],CoreValuesResults[Core Values Score],0,0,)</f>
        <v>0</v>
      </c>
      <c r="V24" s="63">
        <f>_xlfn.XLOOKUP(TournamentData[[#This Row],[Team Number]],InnovationProjectResults[Team Number],InnovationProjectResults[Innovation Project Score],0,0,)</f>
        <v>0</v>
      </c>
      <c r="W24" s="63">
        <f>_xlfn.XLOOKUP(TournamentData[[#This Row],[Team Number]],RobotDesignResults[Team Number],RobotDesignResults[Robot Design Score],0,0,)</f>
        <v>0</v>
      </c>
      <c r="X24"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24" s="69">
        <f t="shared" si="0"/>
        <v>0</v>
      </c>
      <c r="Z24" s="66"/>
    </row>
    <row r="25" spans="1:26" ht="21" customHeight="1" x14ac:dyDescent="0.45">
      <c r="A25">
        <f>_xlfn.XLOOKUP(23,OfficialTeamList[Row],OfficialTeamList[Team Number],"ERROR",0)</f>
        <v>0</v>
      </c>
      <c r="B25" s="62" t="str">
        <f>_xlfn.XLOOKUP(TournamentData[[#This Row],[Team Number]],OfficialTeamList[Team Number],OfficialTeamList[Team Name],"",0,)</f>
        <v/>
      </c>
      <c r="C25" s="63">
        <f>IF(TournamentData[[#This Row],[Team Number]]="","",_xlfn.XLOOKUP(TournamentData[[#This Row],[Team Number]],RobotGameScores[Team Number],RobotGameScores[Robot Game 1 Score],0,0,))</f>
        <v>0</v>
      </c>
      <c r="D25" s="63">
        <f>IF(TournamentData[[#This Row],[Team Number]]="","",_xlfn.XLOOKUP(TournamentData[[#This Row],[Team Number]],RobotGameScores[Team Number],RobotGameScores[Robot Game 2 Score],0,0,))</f>
        <v>0</v>
      </c>
      <c r="E25" s="63">
        <f>IF(TournamentData[[#This Row],[Team Number]]="","",_xlfn.XLOOKUP(TournamentData[[#This Row],[Team Number]],RobotGameScores[Team Number],RobotGameScores[Robot Game 3 Score],0,0,))</f>
        <v>0</v>
      </c>
      <c r="F25" s="63">
        <f>IF(TournamentData[[#This Row],[Team Number]]="","",_xlfn.XLOOKUP(TournamentData[[#This Row],[Team Number]],RobotGameScores[Team Number],RobotGameScores[Robot Game 4 Score],0,0,))</f>
        <v>0</v>
      </c>
      <c r="G25" s="63">
        <f>IF(TournamentData[[#This Row],[Team Number]]="","",_xlfn.XLOOKUP(TournamentData[[#This Row],[Team Number]],RobotGameScores[Team Number],RobotGameScores[Robot Game 5 Score],0,0,))</f>
        <v>0</v>
      </c>
      <c r="H25"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25" s="63">
        <f>IF(TournamentData[[#This Row],[Team Number]]="","",_xlfn.RANK.EQ(TournamentData[[#This Row],[Max Robot Game Score]],TournamentData[Max Robot Game Score]))</f>
        <v>1</v>
      </c>
      <c r="J25" s="63">
        <f>IF(TournamentData[[#This Row],[Team Number]]="","",_xlfn.XLOOKUP(TournamentData[[#This Row],[Team Number]],CoreValuesResults[Team Number],CoreValuesResults[Core Values Rank],NumberOfTeams+1,0,))</f>
        <v>1</v>
      </c>
      <c r="K25" s="63">
        <f>IF(TournamentData[[#This Row],[Team Number]]="","",_xlfn.XLOOKUP(TournamentData[[#This Row],[Team Number]],InnovationProjectResults[Team Number],InnovationProjectResults[Innovation Project Rank],NumberOfTeams+1,0,))</f>
        <v>1</v>
      </c>
      <c r="L25" s="63">
        <f>IF(TournamentData[[#This Row],[Team Number]]="","",_xlfn.XLOOKUP(TournamentData[[#This Row],[Team Number]],RobotDesignResults[Team Number],RobotDesignResults[Robot Design Rank],NumberOfTeams+1,0,))</f>
        <v>1</v>
      </c>
      <c r="M25"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25" s="64">
        <f>IF(TournamentData[[#This Row],[Team Number]]="","",IF(M25,RANK(M25,M$3:M$202,1)-COUNTIF(M$3:M$202,0),NumberOfTeams+1))</f>
        <v>1</v>
      </c>
      <c r="O25" s="65">
        <f>_xlfn.XLOOKUP(TournamentData[[#This Row],[Team Number]],CoreValuesResults[Team Number],CoreValuesResults[Breakthrough Selection],0,0,)</f>
        <v>0</v>
      </c>
      <c r="P25" s="65">
        <f>_xlfn.XLOOKUP(TournamentData[[#This Row],[Team Number]],CoreValuesResults[Team Number],CoreValuesResults[Rising All-Star Selection],0,0,)</f>
        <v>0</v>
      </c>
      <c r="Q25" s="65">
        <f>_xlfn.XLOOKUP(TournamentData[[#This Row],[Team Number]],CoreValuesResults[Team Number],CoreValuesResults[Motivate Selection],0,0,)</f>
        <v>0</v>
      </c>
      <c r="R25" s="66"/>
      <c r="S25" s="66"/>
      <c r="T25" s="67"/>
      <c r="U25" s="63">
        <f>_xlfn.XLOOKUP(TournamentData[[#This Row],[Team Number]],CoreValuesResults[Team Number],CoreValuesResults[Core Values Score],0,0,)</f>
        <v>0</v>
      </c>
      <c r="V25" s="63">
        <f>_xlfn.XLOOKUP(TournamentData[[#This Row],[Team Number]],InnovationProjectResults[Team Number],InnovationProjectResults[Innovation Project Score],0,0,)</f>
        <v>0</v>
      </c>
      <c r="W25" s="63">
        <f>_xlfn.XLOOKUP(TournamentData[[#This Row],[Team Number]],RobotDesignResults[Team Number],RobotDesignResults[Robot Design Score],0,0,)</f>
        <v>0</v>
      </c>
      <c r="X25"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25" s="69">
        <f t="shared" si="0"/>
        <v>0</v>
      </c>
      <c r="Z25" s="66"/>
    </row>
    <row r="26" spans="1:26" ht="21" customHeight="1" x14ac:dyDescent="0.45">
      <c r="A26">
        <f>_xlfn.XLOOKUP(24,OfficialTeamList[Row],OfficialTeamList[Team Number],"ERROR",0)</f>
        <v>0</v>
      </c>
      <c r="B26" s="62" t="str">
        <f>_xlfn.XLOOKUP(TournamentData[[#This Row],[Team Number]],OfficialTeamList[Team Number],OfficialTeamList[Team Name],"",0,)</f>
        <v/>
      </c>
      <c r="C26" s="63">
        <f>IF(TournamentData[[#This Row],[Team Number]]="","",_xlfn.XLOOKUP(TournamentData[[#This Row],[Team Number]],RobotGameScores[Team Number],RobotGameScores[Robot Game 1 Score],0,0,))</f>
        <v>0</v>
      </c>
      <c r="D26" s="63">
        <f>IF(TournamentData[[#This Row],[Team Number]]="","",_xlfn.XLOOKUP(TournamentData[[#This Row],[Team Number]],RobotGameScores[Team Number],RobotGameScores[Robot Game 2 Score],0,0,))</f>
        <v>0</v>
      </c>
      <c r="E26" s="63">
        <f>IF(TournamentData[[#This Row],[Team Number]]="","",_xlfn.XLOOKUP(TournamentData[[#This Row],[Team Number]],RobotGameScores[Team Number],RobotGameScores[Robot Game 3 Score],0,0,))</f>
        <v>0</v>
      </c>
      <c r="F26" s="63">
        <f>IF(TournamentData[[#This Row],[Team Number]]="","",_xlfn.XLOOKUP(TournamentData[[#This Row],[Team Number]],RobotGameScores[Team Number],RobotGameScores[Robot Game 4 Score],0,0,))</f>
        <v>0</v>
      </c>
      <c r="G26" s="63">
        <f>IF(TournamentData[[#This Row],[Team Number]]="","",_xlfn.XLOOKUP(TournamentData[[#This Row],[Team Number]],RobotGameScores[Team Number],RobotGameScores[Robot Game 5 Score],0,0,))</f>
        <v>0</v>
      </c>
      <c r="H26"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26" s="63">
        <f>IF(TournamentData[[#This Row],[Team Number]]="","",_xlfn.RANK.EQ(TournamentData[[#This Row],[Max Robot Game Score]],TournamentData[Max Robot Game Score]))</f>
        <v>1</v>
      </c>
      <c r="J26" s="63">
        <f>IF(TournamentData[[#This Row],[Team Number]]="","",_xlfn.XLOOKUP(TournamentData[[#This Row],[Team Number]],CoreValuesResults[Team Number],CoreValuesResults[Core Values Rank],NumberOfTeams+1,0,))</f>
        <v>1</v>
      </c>
      <c r="K26" s="63">
        <f>IF(TournamentData[[#This Row],[Team Number]]="","",_xlfn.XLOOKUP(TournamentData[[#This Row],[Team Number]],InnovationProjectResults[Team Number],InnovationProjectResults[Innovation Project Rank],NumberOfTeams+1,0,))</f>
        <v>1</v>
      </c>
      <c r="L26" s="63">
        <f>IF(TournamentData[[#This Row],[Team Number]]="","",_xlfn.XLOOKUP(TournamentData[[#This Row],[Team Number]],RobotDesignResults[Team Number],RobotDesignResults[Robot Design Rank],NumberOfTeams+1,0,))</f>
        <v>1</v>
      </c>
      <c r="M26"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26" s="64">
        <f>IF(TournamentData[[#This Row],[Team Number]]="","",IF(M26,RANK(M26,M$3:M$202,1)-COUNTIF(M$3:M$202,0),NumberOfTeams+1))</f>
        <v>1</v>
      </c>
      <c r="O26" s="70">
        <f>_xlfn.XLOOKUP(TournamentData[[#This Row],[Team Number]],CoreValuesResults[Team Number],CoreValuesResults[Breakthrough Selection],0,0,)</f>
        <v>0</v>
      </c>
      <c r="P26" s="70">
        <f>_xlfn.XLOOKUP(TournamentData[[#This Row],[Team Number]],CoreValuesResults[Team Number],CoreValuesResults[Rising All-Star Selection],0,0,)</f>
        <v>0</v>
      </c>
      <c r="Q26" s="70">
        <f>_xlfn.XLOOKUP(TournamentData[[#This Row],[Team Number]],CoreValuesResults[Team Number],CoreValuesResults[Motivate Selection],0,0,)</f>
        <v>0</v>
      </c>
      <c r="R26" s="66"/>
      <c r="S26" s="66"/>
      <c r="T26" s="67"/>
      <c r="U26" s="63">
        <f>_xlfn.XLOOKUP(TournamentData[[#This Row],[Team Number]],CoreValuesResults[Team Number],CoreValuesResults[Core Values Score],0,0,)</f>
        <v>0</v>
      </c>
      <c r="V26" s="63">
        <f>_xlfn.XLOOKUP(TournamentData[[#This Row],[Team Number]],InnovationProjectResults[Team Number],InnovationProjectResults[Innovation Project Score],0,0,)</f>
        <v>0</v>
      </c>
      <c r="W26" s="63">
        <f>_xlfn.XLOOKUP(TournamentData[[#This Row],[Team Number]],RobotDesignResults[Team Number],RobotDesignResults[Robot Design Score],0,0,)</f>
        <v>0</v>
      </c>
      <c r="X26"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26" s="69">
        <f t="shared" si="0"/>
        <v>0</v>
      </c>
      <c r="Z26" s="66"/>
    </row>
    <row r="27" spans="1:26" ht="21" customHeight="1" x14ac:dyDescent="0.45">
      <c r="A27">
        <f>_xlfn.XLOOKUP(25,OfficialTeamList[Row],OfficialTeamList[Team Number],"ERROR",0)</f>
        <v>0</v>
      </c>
      <c r="B27" s="62" t="str">
        <f>_xlfn.XLOOKUP(TournamentData[[#This Row],[Team Number]],OfficialTeamList[Team Number],OfficialTeamList[Team Name],"",0,)</f>
        <v/>
      </c>
      <c r="C27" s="63">
        <f>IF(TournamentData[[#This Row],[Team Number]]="","",_xlfn.XLOOKUP(TournamentData[[#This Row],[Team Number]],RobotGameScores[Team Number],RobotGameScores[Robot Game 1 Score],0,0,))</f>
        <v>0</v>
      </c>
      <c r="D27" s="63">
        <f>IF(TournamentData[[#This Row],[Team Number]]="","",_xlfn.XLOOKUP(TournamentData[[#This Row],[Team Number]],RobotGameScores[Team Number],RobotGameScores[Robot Game 2 Score],0,0,))</f>
        <v>0</v>
      </c>
      <c r="E27" s="63">
        <f>IF(TournamentData[[#This Row],[Team Number]]="","",_xlfn.XLOOKUP(TournamentData[[#This Row],[Team Number]],RobotGameScores[Team Number],RobotGameScores[Robot Game 3 Score],0,0,))</f>
        <v>0</v>
      </c>
      <c r="F27" s="63">
        <f>IF(TournamentData[[#This Row],[Team Number]]="","",_xlfn.XLOOKUP(TournamentData[[#This Row],[Team Number]],RobotGameScores[Team Number],RobotGameScores[Robot Game 4 Score],0,0,))</f>
        <v>0</v>
      </c>
      <c r="G27" s="63">
        <f>IF(TournamentData[[#This Row],[Team Number]]="","",_xlfn.XLOOKUP(TournamentData[[#This Row],[Team Number]],RobotGameScores[Team Number],RobotGameScores[Robot Game 5 Score],0,0,))</f>
        <v>0</v>
      </c>
      <c r="H27"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27" s="63">
        <f>IF(TournamentData[[#This Row],[Team Number]]="","",_xlfn.RANK.EQ(TournamentData[[#This Row],[Max Robot Game Score]],TournamentData[Max Robot Game Score]))</f>
        <v>1</v>
      </c>
      <c r="J27" s="63">
        <f>IF(TournamentData[[#This Row],[Team Number]]="","",_xlfn.XLOOKUP(TournamentData[[#This Row],[Team Number]],CoreValuesResults[Team Number],CoreValuesResults[Core Values Rank],NumberOfTeams+1,0,))</f>
        <v>1</v>
      </c>
      <c r="K27" s="63">
        <f>IF(TournamentData[[#This Row],[Team Number]]="","",_xlfn.XLOOKUP(TournamentData[[#This Row],[Team Number]],InnovationProjectResults[Team Number],InnovationProjectResults[Innovation Project Rank],NumberOfTeams+1,0,))</f>
        <v>1</v>
      </c>
      <c r="L27" s="63">
        <f>IF(TournamentData[[#This Row],[Team Number]]="","",_xlfn.XLOOKUP(TournamentData[[#This Row],[Team Number]],RobotDesignResults[Team Number],RobotDesignResults[Robot Design Rank],NumberOfTeams+1,0,))</f>
        <v>1</v>
      </c>
      <c r="M27"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27" s="64">
        <f>IF(TournamentData[[#This Row],[Team Number]]="","",IF(M27,RANK(M27,M$3:M$202,1)-COUNTIF(M$3:M$202,0),NumberOfTeams+1))</f>
        <v>1</v>
      </c>
      <c r="O27" s="65">
        <f>_xlfn.XLOOKUP(TournamentData[[#This Row],[Team Number]],CoreValuesResults[Team Number],CoreValuesResults[Breakthrough Selection],0,0,)</f>
        <v>0</v>
      </c>
      <c r="P27" s="65">
        <f>_xlfn.XLOOKUP(TournamentData[[#This Row],[Team Number]],CoreValuesResults[Team Number],CoreValuesResults[Rising All-Star Selection],0,0,)</f>
        <v>0</v>
      </c>
      <c r="Q27" s="65">
        <f>_xlfn.XLOOKUP(TournamentData[[#This Row],[Team Number]],CoreValuesResults[Team Number],CoreValuesResults[Motivate Selection],0,0,)</f>
        <v>0</v>
      </c>
      <c r="R27" s="66"/>
      <c r="S27" s="66"/>
      <c r="T27" s="67"/>
      <c r="U27" s="63">
        <f>_xlfn.XLOOKUP(TournamentData[[#This Row],[Team Number]],CoreValuesResults[Team Number],CoreValuesResults[Core Values Score],0,0,)</f>
        <v>0</v>
      </c>
      <c r="V27" s="63">
        <f>_xlfn.XLOOKUP(TournamentData[[#This Row],[Team Number]],InnovationProjectResults[Team Number],InnovationProjectResults[Innovation Project Score],0,0,)</f>
        <v>0</v>
      </c>
      <c r="W27" s="63">
        <f>_xlfn.XLOOKUP(TournamentData[[#This Row],[Team Number]],RobotDesignResults[Team Number],RobotDesignResults[Robot Design Score],0,0,)</f>
        <v>0</v>
      </c>
      <c r="X27"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27" s="69">
        <f t="shared" si="0"/>
        <v>0</v>
      </c>
      <c r="Z27" s="66"/>
    </row>
    <row r="28" spans="1:26" ht="21" customHeight="1" x14ac:dyDescent="0.45">
      <c r="A28">
        <f>_xlfn.XLOOKUP(26,OfficialTeamList[Row],OfficialTeamList[Team Number],"ERROR",0)</f>
        <v>0</v>
      </c>
      <c r="B28" s="62" t="str">
        <f>_xlfn.XLOOKUP(TournamentData[[#This Row],[Team Number]],OfficialTeamList[Team Number],OfficialTeamList[Team Name],"",0,)</f>
        <v/>
      </c>
      <c r="C28" s="63">
        <f>IF(TournamentData[[#This Row],[Team Number]]="","",_xlfn.XLOOKUP(TournamentData[[#This Row],[Team Number]],RobotGameScores[Team Number],RobotGameScores[Robot Game 1 Score],0,0,))</f>
        <v>0</v>
      </c>
      <c r="D28" s="63">
        <f>IF(TournamentData[[#This Row],[Team Number]]="","",_xlfn.XLOOKUP(TournamentData[[#This Row],[Team Number]],RobotGameScores[Team Number],RobotGameScores[Robot Game 2 Score],0,0,))</f>
        <v>0</v>
      </c>
      <c r="E28" s="63">
        <f>IF(TournamentData[[#This Row],[Team Number]]="","",_xlfn.XLOOKUP(TournamentData[[#This Row],[Team Number]],RobotGameScores[Team Number],RobotGameScores[Robot Game 3 Score],0,0,))</f>
        <v>0</v>
      </c>
      <c r="F28" s="63">
        <f>IF(TournamentData[[#This Row],[Team Number]]="","",_xlfn.XLOOKUP(TournamentData[[#This Row],[Team Number]],RobotGameScores[Team Number],RobotGameScores[Robot Game 4 Score],0,0,))</f>
        <v>0</v>
      </c>
      <c r="G28" s="63">
        <f>IF(TournamentData[[#This Row],[Team Number]]="","",_xlfn.XLOOKUP(TournamentData[[#This Row],[Team Number]],RobotGameScores[Team Number],RobotGameScores[Robot Game 5 Score],0,0,))</f>
        <v>0</v>
      </c>
      <c r="H28"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28" s="63">
        <f>IF(TournamentData[[#This Row],[Team Number]]="","",_xlfn.RANK.EQ(TournamentData[[#This Row],[Max Robot Game Score]],TournamentData[Max Robot Game Score]))</f>
        <v>1</v>
      </c>
      <c r="J28" s="63">
        <f>IF(TournamentData[[#This Row],[Team Number]]="","",_xlfn.XLOOKUP(TournamentData[[#This Row],[Team Number]],CoreValuesResults[Team Number],CoreValuesResults[Core Values Rank],NumberOfTeams+1,0,))</f>
        <v>1</v>
      </c>
      <c r="K28" s="63">
        <f>IF(TournamentData[[#This Row],[Team Number]]="","",_xlfn.XLOOKUP(TournamentData[[#This Row],[Team Number]],InnovationProjectResults[Team Number],InnovationProjectResults[Innovation Project Rank],NumberOfTeams+1,0,))</f>
        <v>1</v>
      </c>
      <c r="L28" s="63">
        <f>IF(TournamentData[[#This Row],[Team Number]]="","",_xlfn.XLOOKUP(TournamentData[[#This Row],[Team Number]],RobotDesignResults[Team Number],RobotDesignResults[Robot Design Rank],NumberOfTeams+1,0,))</f>
        <v>1</v>
      </c>
      <c r="M28"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28" s="64">
        <f>IF(TournamentData[[#This Row],[Team Number]]="","",IF(M28,RANK(M28,M$3:M$202,1)-COUNTIF(M$3:M$202,0),NumberOfTeams+1))</f>
        <v>1</v>
      </c>
      <c r="O28" s="65">
        <f>_xlfn.XLOOKUP(TournamentData[[#This Row],[Team Number]],CoreValuesResults[Team Number],CoreValuesResults[Breakthrough Selection],0,0,)</f>
        <v>0</v>
      </c>
      <c r="P28" s="65">
        <f>_xlfn.XLOOKUP(TournamentData[[#This Row],[Team Number]],CoreValuesResults[Team Number],CoreValuesResults[Rising All-Star Selection],0,0,)</f>
        <v>0</v>
      </c>
      <c r="Q28" s="65">
        <f>_xlfn.XLOOKUP(TournamentData[[#This Row],[Team Number]],CoreValuesResults[Team Number],CoreValuesResults[Motivate Selection],0,0,)</f>
        <v>0</v>
      </c>
      <c r="R28" s="66"/>
      <c r="S28" s="66"/>
      <c r="T28" s="67"/>
      <c r="U28" s="63">
        <f>_xlfn.XLOOKUP(TournamentData[[#This Row],[Team Number]],CoreValuesResults[Team Number],CoreValuesResults[Core Values Score],0,0,)</f>
        <v>0</v>
      </c>
      <c r="V28" s="63">
        <f>_xlfn.XLOOKUP(TournamentData[[#This Row],[Team Number]],InnovationProjectResults[Team Number],InnovationProjectResults[Innovation Project Score],0,0,)</f>
        <v>0</v>
      </c>
      <c r="W28" s="63">
        <f>_xlfn.XLOOKUP(TournamentData[[#This Row],[Team Number]],RobotDesignResults[Team Number],RobotDesignResults[Robot Design Score],0,0,)</f>
        <v>0</v>
      </c>
      <c r="X28"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28" s="69">
        <f t="shared" si="0"/>
        <v>0</v>
      </c>
      <c r="Z28" s="66"/>
    </row>
    <row r="29" spans="1:26" ht="21" customHeight="1" x14ac:dyDescent="0.45">
      <c r="A29">
        <f>_xlfn.XLOOKUP(27,OfficialTeamList[Row],OfficialTeamList[Team Number],"ERROR",0)</f>
        <v>0</v>
      </c>
      <c r="B29" s="62" t="str">
        <f>_xlfn.XLOOKUP(TournamentData[[#This Row],[Team Number]],OfficialTeamList[Team Number],OfficialTeamList[Team Name],"",0,)</f>
        <v/>
      </c>
      <c r="C29" s="63">
        <f>IF(TournamentData[[#This Row],[Team Number]]="","",_xlfn.XLOOKUP(TournamentData[[#This Row],[Team Number]],RobotGameScores[Team Number],RobotGameScores[Robot Game 1 Score],0,0,))</f>
        <v>0</v>
      </c>
      <c r="D29" s="63">
        <f>IF(TournamentData[[#This Row],[Team Number]]="","",_xlfn.XLOOKUP(TournamentData[[#This Row],[Team Number]],RobotGameScores[Team Number],RobotGameScores[Robot Game 2 Score],0,0,))</f>
        <v>0</v>
      </c>
      <c r="E29" s="63">
        <f>IF(TournamentData[[#This Row],[Team Number]]="","",_xlfn.XLOOKUP(TournamentData[[#This Row],[Team Number]],RobotGameScores[Team Number],RobotGameScores[Robot Game 3 Score],0,0,))</f>
        <v>0</v>
      </c>
      <c r="F29" s="63">
        <f>IF(TournamentData[[#This Row],[Team Number]]="","",_xlfn.XLOOKUP(TournamentData[[#This Row],[Team Number]],RobotGameScores[Team Number],RobotGameScores[Robot Game 4 Score],0,0,))</f>
        <v>0</v>
      </c>
      <c r="G29" s="63">
        <f>IF(TournamentData[[#This Row],[Team Number]]="","",_xlfn.XLOOKUP(TournamentData[[#This Row],[Team Number]],RobotGameScores[Team Number],RobotGameScores[Robot Game 5 Score],0,0,))</f>
        <v>0</v>
      </c>
      <c r="H29"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29" s="63">
        <f>IF(TournamentData[[#This Row],[Team Number]]="","",_xlfn.RANK.EQ(TournamentData[[#This Row],[Max Robot Game Score]],TournamentData[Max Robot Game Score]))</f>
        <v>1</v>
      </c>
      <c r="J29" s="63">
        <f>IF(TournamentData[[#This Row],[Team Number]]="","",_xlfn.XLOOKUP(TournamentData[[#This Row],[Team Number]],CoreValuesResults[Team Number],CoreValuesResults[Core Values Rank],NumberOfTeams+1,0,))</f>
        <v>1</v>
      </c>
      <c r="K29" s="63">
        <f>IF(TournamentData[[#This Row],[Team Number]]="","",_xlfn.XLOOKUP(TournamentData[[#This Row],[Team Number]],InnovationProjectResults[Team Number],InnovationProjectResults[Innovation Project Rank],NumberOfTeams+1,0,))</f>
        <v>1</v>
      </c>
      <c r="L29" s="63">
        <f>IF(TournamentData[[#This Row],[Team Number]]="","",_xlfn.XLOOKUP(TournamentData[[#This Row],[Team Number]],RobotDesignResults[Team Number],RobotDesignResults[Robot Design Rank],NumberOfTeams+1,0,))</f>
        <v>1</v>
      </c>
      <c r="M29"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29" s="64">
        <f>IF(TournamentData[[#This Row],[Team Number]]="","",IF(M29,RANK(M29,M$3:M$202,1)-COUNTIF(M$3:M$202,0),NumberOfTeams+1))</f>
        <v>1</v>
      </c>
      <c r="O29" s="65">
        <f>_xlfn.XLOOKUP(TournamentData[[#This Row],[Team Number]],CoreValuesResults[Team Number],CoreValuesResults[Breakthrough Selection],0,0,)</f>
        <v>0</v>
      </c>
      <c r="P29" s="65">
        <f>_xlfn.XLOOKUP(TournamentData[[#This Row],[Team Number]],CoreValuesResults[Team Number],CoreValuesResults[Rising All-Star Selection],0,0,)</f>
        <v>0</v>
      </c>
      <c r="Q29" s="65">
        <f>_xlfn.XLOOKUP(TournamentData[[#This Row],[Team Number]],CoreValuesResults[Team Number],CoreValuesResults[Motivate Selection],0,0,)</f>
        <v>0</v>
      </c>
      <c r="R29" s="66"/>
      <c r="S29" s="66"/>
      <c r="T29" s="67"/>
      <c r="U29" s="63">
        <f>_xlfn.XLOOKUP(TournamentData[[#This Row],[Team Number]],CoreValuesResults[Team Number],CoreValuesResults[Core Values Score],0,0,)</f>
        <v>0</v>
      </c>
      <c r="V29" s="63">
        <f>_xlfn.XLOOKUP(TournamentData[[#This Row],[Team Number]],InnovationProjectResults[Team Number],InnovationProjectResults[Innovation Project Score],0,0,)</f>
        <v>0</v>
      </c>
      <c r="W29" s="63">
        <f>_xlfn.XLOOKUP(TournamentData[[#This Row],[Team Number]],RobotDesignResults[Team Number],RobotDesignResults[Robot Design Score],0,0,)</f>
        <v>0</v>
      </c>
      <c r="X29"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29" s="69">
        <f t="shared" si="0"/>
        <v>0</v>
      </c>
      <c r="Z29" s="66"/>
    </row>
    <row r="30" spans="1:26" ht="21" customHeight="1" x14ac:dyDescent="0.45">
      <c r="A30">
        <f>_xlfn.XLOOKUP(28,OfficialTeamList[Row],OfficialTeamList[Team Number],"ERROR",0)</f>
        <v>0</v>
      </c>
      <c r="B30" s="62" t="str">
        <f>_xlfn.XLOOKUP(TournamentData[[#This Row],[Team Number]],OfficialTeamList[Team Number],OfficialTeamList[Team Name],"",0,)</f>
        <v/>
      </c>
      <c r="C30" s="63">
        <f>IF(TournamentData[[#This Row],[Team Number]]="","",_xlfn.XLOOKUP(TournamentData[[#This Row],[Team Number]],RobotGameScores[Team Number],RobotGameScores[Robot Game 1 Score],0,0,))</f>
        <v>0</v>
      </c>
      <c r="D30" s="63">
        <f>IF(TournamentData[[#This Row],[Team Number]]="","",_xlfn.XLOOKUP(TournamentData[[#This Row],[Team Number]],RobotGameScores[Team Number],RobotGameScores[Robot Game 2 Score],0,0,))</f>
        <v>0</v>
      </c>
      <c r="E30" s="63">
        <f>IF(TournamentData[[#This Row],[Team Number]]="","",_xlfn.XLOOKUP(TournamentData[[#This Row],[Team Number]],RobotGameScores[Team Number],RobotGameScores[Robot Game 3 Score],0,0,))</f>
        <v>0</v>
      </c>
      <c r="F30" s="63">
        <f>IF(TournamentData[[#This Row],[Team Number]]="","",_xlfn.XLOOKUP(TournamentData[[#This Row],[Team Number]],RobotGameScores[Team Number],RobotGameScores[Robot Game 4 Score],0,0,))</f>
        <v>0</v>
      </c>
      <c r="G30" s="63">
        <f>IF(TournamentData[[#This Row],[Team Number]]="","",_xlfn.XLOOKUP(TournamentData[[#This Row],[Team Number]],RobotGameScores[Team Number],RobotGameScores[Robot Game 5 Score],0,0,))</f>
        <v>0</v>
      </c>
      <c r="H30"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30" s="63">
        <f>IF(TournamentData[[#This Row],[Team Number]]="","",_xlfn.RANK.EQ(TournamentData[[#This Row],[Max Robot Game Score]],TournamentData[Max Robot Game Score]))</f>
        <v>1</v>
      </c>
      <c r="J30" s="63">
        <f>IF(TournamentData[[#This Row],[Team Number]]="","",_xlfn.XLOOKUP(TournamentData[[#This Row],[Team Number]],CoreValuesResults[Team Number],CoreValuesResults[Core Values Rank],NumberOfTeams+1,0,))</f>
        <v>1</v>
      </c>
      <c r="K30" s="63">
        <f>IF(TournamentData[[#This Row],[Team Number]]="","",_xlfn.XLOOKUP(TournamentData[[#This Row],[Team Number]],InnovationProjectResults[Team Number],InnovationProjectResults[Innovation Project Rank],NumberOfTeams+1,0,))</f>
        <v>1</v>
      </c>
      <c r="L30" s="63">
        <f>IF(TournamentData[[#This Row],[Team Number]]="","",_xlfn.XLOOKUP(TournamentData[[#This Row],[Team Number]],RobotDesignResults[Team Number],RobotDesignResults[Robot Design Rank],NumberOfTeams+1,0,))</f>
        <v>1</v>
      </c>
      <c r="M30"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30" s="64">
        <f>IF(TournamentData[[#This Row],[Team Number]]="","",IF(M30,RANK(M30,M$3:M$202,1)-COUNTIF(M$3:M$202,0),NumberOfTeams+1))</f>
        <v>1</v>
      </c>
      <c r="O30" s="70">
        <f>_xlfn.XLOOKUP(TournamentData[[#This Row],[Team Number]],CoreValuesResults[Team Number],CoreValuesResults[Breakthrough Selection],0,0,)</f>
        <v>0</v>
      </c>
      <c r="P30" s="70">
        <f>_xlfn.XLOOKUP(TournamentData[[#This Row],[Team Number]],CoreValuesResults[Team Number],CoreValuesResults[Rising All-Star Selection],0,0,)</f>
        <v>0</v>
      </c>
      <c r="Q30" s="70">
        <f>_xlfn.XLOOKUP(TournamentData[[#This Row],[Team Number]],CoreValuesResults[Team Number],CoreValuesResults[Motivate Selection],0,0,)</f>
        <v>0</v>
      </c>
      <c r="R30" s="66"/>
      <c r="S30" s="66"/>
      <c r="T30" s="67"/>
      <c r="U30" s="63">
        <f>_xlfn.XLOOKUP(TournamentData[[#This Row],[Team Number]],CoreValuesResults[Team Number],CoreValuesResults[Core Values Score],0,0,)</f>
        <v>0</v>
      </c>
      <c r="V30" s="63">
        <f>_xlfn.XLOOKUP(TournamentData[[#This Row],[Team Number]],InnovationProjectResults[Team Number],InnovationProjectResults[Innovation Project Score],0,0,)</f>
        <v>0</v>
      </c>
      <c r="W30" s="63">
        <f>_xlfn.XLOOKUP(TournamentData[[#This Row],[Team Number]],RobotDesignResults[Team Number],RobotDesignResults[Robot Design Score],0,0,)</f>
        <v>0</v>
      </c>
      <c r="X30"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30" s="69">
        <f t="shared" si="0"/>
        <v>0</v>
      </c>
      <c r="Z30" s="66"/>
    </row>
    <row r="31" spans="1:26" ht="21" customHeight="1" x14ac:dyDescent="0.45">
      <c r="A31">
        <f>_xlfn.XLOOKUP(29,OfficialTeamList[Row],OfficialTeamList[Team Number],"ERROR",0)</f>
        <v>0</v>
      </c>
      <c r="B31" s="62" t="str">
        <f>_xlfn.XLOOKUP(TournamentData[[#This Row],[Team Number]],OfficialTeamList[Team Number],OfficialTeamList[Team Name],"",0,)</f>
        <v/>
      </c>
      <c r="C31" s="63">
        <f>IF(TournamentData[[#This Row],[Team Number]]="","",_xlfn.XLOOKUP(TournamentData[[#This Row],[Team Number]],RobotGameScores[Team Number],RobotGameScores[Robot Game 1 Score],0,0,))</f>
        <v>0</v>
      </c>
      <c r="D31" s="63">
        <f>IF(TournamentData[[#This Row],[Team Number]]="","",_xlfn.XLOOKUP(TournamentData[[#This Row],[Team Number]],RobotGameScores[Team Number],RobotGameScores[Robot Game 2 Score],0,0,))</f>
        <v>0</v>
      </c>
      <c r="E31" s="63">
        <f>IF(TournamentData[[#This Row],[Team Number]]="","",_xlfn.XLOOKUP(TournamentData[[#This Row],[Team Number]],RobotGameScores[Team Number],RobotGameScores[Robot Game 3 Score],0,0,))</f>
        <v>0</v>
      </c>
      <c r="F31" s="63">
        <f>IF(TournamentData[[#This Row],[Team Number]]="","",_xlfn.XLOOKUP(TournamentData[[#This Row],[Team Number]],RobotGameScores[Team Number],RobotGameScores[Robot Game 4 Score],0,0,))</f>
        <v>0</v>
      </c>
      <c r="G31" s="63">
        <f>IF(TournamentData[[#This Row],[Team Number]]="","",_xlfn.XLOOKUP(TournamentData[[#This Row],[Team Number]],RobotGameScores[Team Number],RobotGameScores[Robot Game 5 Score],0,0,))</f>
        <v>0</v>
      </c>
      <c r="H31"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31" s="63">
        <f>IF(TournamentData[[#This Row],[Team Number]]="","",_xlfn.RANK.EQ(TournamentData[[#This Row],[Max Robot Game Score]],TournamentData[Max Robot Game Score]))</f>
        <v>1</v>
      </c>
      <c r="J31" s="63">
        <f>IF(TournamentData[[#This Row],[Team Number]]="","",_xlfn.XLOOKUP(TournamentData[[#This Row],[Team Number]],CoreValuesResults[Team Number],CoreValuesResults[Core Values Rank],NumberOfTeams+1,0,))</f>
        <v>1</v>
      </c>
      <c r="K31" s="63">
        <f>IF(TournamentData[[#This Row],[Team Number]]="","",_xlfn.XLOOKUP(TournamentData[[#This Row],[Team Number]],InnovationProjectResults[Team Number],InnovationProjectResults[Innovation Project Rank],NumberOfTeams+1,0,))</f>
        <v>1</v>
      </c>
      <c r="L31" s="63">
        <f>IF(TournamentData[[#This Row],[Team Number]]="","",_xlfn.XLOOKUP(TournamentData[[#This Row],[Team Number]],RobotDesignResults[Team Number],RobotDesignResults[Robot Design Rank],NumberOfTeams+1,0,))</f>
        <v>1</v>
      </c>
      <c r="M31"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31" s="64">
        <f>IF(TournamentData[[#This Row],[Team Number]]="","",IF(M31,RANK(M31,M$3:M$202,1)-COUNTIF(M$3:M$202,0),NumberOfTeams+1))</f>
        <v>1</v>
      </c>
      <c r="O31" s="65">
        <f>_xlfn.XLOOKUP(TournamentData[[#This Row],[Team Number]],CoreValuesResults[Team Number],CoreValuesResults[Breakthrough Selection],0,0,)</f>
        <v>0</v>
      </c>
      <c r="P31" s="65">
        <f>_xlfn.XLOOKUP(TournamentData[[#This Row],[Team Number]],CoreValuesResults[Team Number],CoreValuesResults[Rising All-Star Selection],0,0,)</f>
        <v>0</v>
      </c>
      <c r="Q31" s="65">
        <f>_xlfn.XLOOKUP(TournamentData[[#This Row],[Team Number]],CoreValuesResults[Team Number],CoreValuesResults[Motivate Selection],0,0,)</f>
        <v>0</v>
      </c>
      <c r="R31" s="66"/>
      <c r="S31" s="66"/>
      <c r="T31" s="67"/>
      <c r="U31" s="63">
        <f>_xlfn.XLOOKUP(TournamentData[[#This Row],[Team Number]],CoreValuesResults[Team Number],CoreValuesResults[Core Values Score],0,0,)</f>
        <v>0</v>
      </c>
      <c r="V31" s="63">
        <f>_xlfn.XLOOKUP(TournamentData[[#This Row],[Team Number]],InnovationProjectResults[Team Number],InnovationProjectResults[Innovation Project Score],0,0,)</f>
        <v>0</v>
      </c>
      <c r="W31" s="63">
        <f>_xlfn.XLOOKUP(TournamentData[[#This Row],[Team Number]],RobotDesignResults[Team Number],RobotDesignResults[Robot Design Score],0,0,)</f>
        <v>0</v>
      </c>
      <c r="X31"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31" s="69">
        <f t="shared" si="0"/>
        <v>0</v>
      </c>
      <c r="Z31" s="66"/>
    </row>
    <row r="32" spans="1:26" ht="21" customHeight="1" x14ac:dyDescent="0.45">
      <c r="A32">
        <f>_xlfn.XLOOKUP(30,OfficialTeamList[Row],OfficialTeamList[Team Number],"ERROR",0)</f>
        <v>0</v>
      </c>
      <c r="B32" s="62" t="str">
        <f>_xlfn.XLOOKUP(TournamentData[[#This Row],[Team Number]],OfficialTeamList[Team Number],OfficialTeamList[Team Name],"",0,)</f>
        <v/>
      </c>
      <c r="C32" s="63">
        <f>IF(TournamentData[[#This Row],[Team Number]]="","",_xlfn.XLOOKUP(TournamentData[[#This Row],[Team Number]],RobotGameScores[Team Number],RobotGameScores[Robot Game 1 Score],0,0,))</f>
        <v>0</v>
      </c>
      <c r="D32" s="63">
        <f>IF(TournamentData[[#This Row],[Team Number]]="","",_xlfn.XLOOKUP(TournamentData[[#This Row],[Team Number]],RobotGameScores[Team Number],RobotGameScores[Robot Game 2 Score],0,0,))</f>
        <v>0</v>
      </c>
      <c r="E32" s="63">
        <f>IF(TournamentData[[#This Row],[Team Number]]="","",_xlfn.XLOOKUP(TournamentData[[#This Row],[Team Number]],RobotGameScores[Team Number],RobotGameScores[Robot Game 3 Score],0,0,))</f>
        <v>0</v>
      </c>
      <c r="F32" s="63">
        <f>IF(TournamentData[[#This Row],[Team Number]]="","",_xlfn.XLOOKUP(TournamentData[[#This Row],[Team Number]],RobotGameScores[Team Number],RobotGameScores[Robot Game 4 Score],0,0,))</f>
        <v>0</v>
      </c>
      <c r="G32" s="63">
        <f>IF(TournamentData[[#This Row],[Team Number]]="","",_xlfn.XLOOKUP(TournamentData[[#This Row],[Team Number]],RobotGameScores[Team Number],RobotGameScores[Robot Game 5 Score],0,0,))</f>
        <v>0</v>
      </c>
      <c r="H32"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32" s="63">
        <f>IF(TournamentData[[#This Row],[Team Number]]="","",_xlfn.RANK.EQ(TournamentData[[#This Row],[Max Robot Game Score]],TournamentData[Max Robot Game Score]))</f>
        <v>1</v>
      </c>
      <c r="J32" s="63">
        <f>IF(TournamentData[[#This Row],[Team Number]]="","",_xlfn.XLOOKUP(TournamentData[[#This Row],[Team Number]],CoreValuesResults[Team Number],CoreValuesResults[Core Values Rank],NumberOfTeams+1,0,))</f>
        <v>1</v>
      </c>
      <c r="K32" s="63">
        <f>IF(TournamentData[[#This Row],[Team Number]]="","",_xlfn.XLOOKUP(TournamentData[[#This Row],[Team Number]],InnovationProjectResults[Team Number],InnovationProjectResults[Innovation Project Rank],NumberOfTeams+1,0,))</f>
        <v>1</v>
      </c>
      <c r="L32" s="63">
        <f>IF(TournamentData[[#This Row],[Team Number]]="","",_xlfn.XLOOKUP(TournamentData[[#This Row],[Team Number]],RobotDesignResults[Team Number],RobotDesignResults[Robot Design Rank],NumberOfTeams+1,0,))</f>
        <v>1</v>
      </c>
      <c r="M32"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32" s="64">
        <f>IF(TournamentData[[#This Row],[Team Number]]="","",IF(M32,RANK(M32,M$3:M$202,1)-COUNTIF(M$3:M$202,0),NumberOfTeams+1))</f>
        <v>1</v>
      </c>
      <c r="O32" s="65">
        <f>_xlfn.XLOOKUP(TournamentData[[#This Row],[Team Number]],CoreValuesResults[Team Number],CoreValuesResults[Breakthrough Selection],0,0,)</f>
        <v>0</v>
      </c>
      <c r="P32" s="65">
        <f>_xlfn.XLOOKUP(TournamentData[[#This Row],[Team Number]],CoreValuesResults[Team Number],CoreValuesResults[Rising All-Star Selection],0,0,)</f>
        <v>0</v>
      </c>
      <c r="Q32" s="65">
        <f>_xlfn.XLOOKUP(TournamentData[[#This Row],[Team Number]],CoreValuesResults[Team Number],CoreValuesResults[Motivate Selection],0,0,)</f>
        <v>0</v>
      </c>
      <c r="R32" s="66"/>
      <c r="S32" s="66"/>
      <c r="T32" s="67"/>
      <c r="U32" s="63">
        <f>_xlfn.XLOOKUP(TournamentData[[#This Row],[Team Number]],CoreValuesResults[Team Number],CoreValuesResults[Core Values Score],0,0,)</f>
        <v>0</v>
      </c>
      <c r="V32" s="63">
        <f>_xlfn.XLOOKUP(TournamentData[[#This Row],[Team Number]],InnovationProjectResults[Team Number],InnovationProjectResults[Innovation Project Score],0,0,)</f>
        <v>0</v>
      </c>
      <c r="W32" s="63">
        <f>_xlfn.XLOOKUP(TournamentData[[#This Row],[Team Number]],RobotDesignResults[Team Number],RobotDesignResults[Robot Design Score],0,0,)</f>
        <v>0</v>
      </c>
      <c r="X32"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32" s="69">
        <f t="shared" si="0"/>
        <v>0</v>
      </c>
      <c r="Z32" s="66"/>
    </row>
    <row r="33" spans="1:26" ht="21" customHeight="1" x14ac:dyDescent="0.45">
      <c r="A33">
        <f>_xlfn.XLOOKUP(31,OfficialTeamList[Row],OfficialTeamList[Team Number],"ERROR",0)</f>
        <v>0</v>
      </c>
      <c r="B33" s="62" t="str">
        <f>_xlfn.XLOOKUP(TournamentData[[#This Row],[Team Number]],OfficialTeamList[Team Number],OfficialTeamList[Team Name],"",0,)</f>
        <v/>
      </c>
      <c r="C33" s="63">
        <f>IF(TournamentData[[#This Row],[Team Number]]="","",_xlfn.XLOOKUP(TournamentData[[#This Row],[Team Number]],RobotGameScores[Team Number],RobotGameScores[Robot Game 1 Score],0,0,))</f>
        <v>0</v>
      </c>
      <c r="D33" s="63">
        <f>IF(TournamentData[[#This Row],[Team Number]]="","",_xlfn.XLOOKUP(TournamentData[[#This Row],[Team Number]],RobotGameScores[Team Number],RobotGameScores[Robot Game 2 Score],0,0,))</f>
        <v>0</v>
      </c>
      <c r="E33" s="63">
        <f>IF(TournamentData[[#This Row],[Team Number]]="","",_xlfn.XLOOKUP(TournamentData[[#This Row],[Team Number]],RobotGameScores[Team Number],RobotGameScores[Robot Game 3 Score],0,0,))</f>
        <v>0</v>
      </c>
      <c r="F33" s="63">
        <f>IF(TournamentData[[#This Row],[Team Number]]="","",_xlfn.XLOOKUP(TournamentData[[#This Row],[Team Number]],RobotGameScores[Team Number],RobotGameScores[Robot Game 4 Score],0,0,))</f>
        <v>0</v>
      </c>
      <c r="G33" s="63">
        <f>IF(TournamentData[[#This Row],[Team Number]]="","",_xlfn.XLOOKUP(TournamentData[[#This Row],[Team Number]],RobotGameScores[Team Number],RobotGameScores[Robot Game 5 Score],0,0,))</f>
        <v>0</v>
      </c>
      <c r="H33"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33" s="63">
        <f>IF(TournamentData[[#This Row],[Team Number]]="","",_xlfn.RANK.EQ(TournamentData[[#This Row],[Max Robot Game Score]],TournamentData[Max Robot Game Score]))</f>
        <v>1</v>
      </c>
      <c r="J33" s="63">
        <f>IF(TournamentData[[#This Row],[Team Number]]="","",_xlfn.XLOOKUP(TournamentData[[#This Row],[Team Number]],CoreValuesResults[Team Number],CoreValuesResults[Core Values Rank],NumberOfTeams+1,0,))</f>
        <v>1</v>
      </c>
      <c r="K33" s="63">
        <f>IF(TournamentData[[#This Row],[Team Number]]="","",_xlfn.XLOOKUP(TournamentData[[#This Row],[Team Number]],InnovationProjectResults[Team Number],InnovationProjectResults[Innovation Project Rank],NumberOfTeams+1,0,))</f>
        <v>1</v>
      </c>
      <c r="L33" s="63">
        <f>IF(TournamentData[[#This Row],[Team Number]]="","",_xlfn.XLOOKUP(TournamentData[[#This Row],[Team Number]],RobotDesignResults[Team Number],RobotDesignResults[Robot Design Rank],NumberOfTeams+1,0,))</f>
        <v>1</v>
      </c>
      <c r="M33"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33" s="64">
        <f>IF(TournamentData[[#This Row],[Team Number]]="","",IF(M33,RANK(M33,M$3:M$202,1)-COUNTIF(M$3:M$202,0),NumberOfTeams+1))</f>
        <v>1</v>
      </c>
      <c r="O33" s="65">
        <f>_xlfn.XLOOKUP(TournamentData[[#This Row],[Team Number]],CoreValuesResults[Team Number],CoreValuesResults[Breakthrough Selection],0,0,)</f>
        <v>0</v>
      </c>
      <c r="P33" s="65">
        <f>_xlfn.XLOOKUP(TournamentData[[#This Row],[Team Number]],CoreValuesResults[Team Number],CoreValuesResults[Rising All-Star Selection],0,0,)</f>
        <v>0</v>
      </c>
      <c r="Q33" s="65">
        <f>_xlfn.XLOOKUP(TournamentData[[#This Row],[Team Number]],CoreValuesResults[Team Number],CoreValuesResults[Motivate Selection],0,0,)</f>
        <v>0</v>
      </c>
      <c r="R33" s="66"/>
      <c r="S33" s="66"/>
      <c r="T33" s="67"/>
      <c r="U33" s="63">
        <f>_xlfn.XLOOKUP(TournamentData[[#This Row],[Team Number]],CoreValuesResults[Team Number],CoreValuesResults[Core Values Score],0,0,)</f>
        <v>0</v>
      </c>
      <c r="V33" s="63">
        <f>_xlfn.XLOOKUP(TournamentData[[#This Row],[Team Number]],InnovationProjectResults[Team Number],InnovationProjectResults[Innovation Project Score],0,0,)</f>
        <v>0</v>
      </c>
      <c r="W33" s="63">
        <f>_xlfn.XLOOKUP(TournamentData[[#This Row],[Team Number]],RobotDesignResults[Team Number],RobotDesignResults[Robot Design Score],0,0,)</f>
        <v>0</v>
      </c>
      <c r="X33"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33" s="69">
        <f t="shared" si="0"/>
        <v>0</v>
      </c>
      <c r="Z33" s="66"/>
    </row>
    <row r="34" spans="1:26" ht="21" customHeight="1" x14ac:dyDescent="0.45">
      <c r="A34">
        <f>_xlfn.XLOOKUP(32,OfficialTeamList[Row],OfficialTeamList[Team Number],"ERROR",0)</f>
        <v>0</v>
      </c>
      <c r="B34" s="62" t="str">
        <f>_xlfn.XLOOKUP(TournamentData[[#This Row],[Team Number]],OfficialTeamList[Team Number],OfficialTeamList[Team Name],"",0,)</f>
        <v/>
      </c>
      <c r="C34" s="63">
        <f>IF(TournamentData[[#This Row],[Team Number]]="","",_xlfn.XLOOKUP(TournamentData[[#This Row],[Team Number]],RobotGameScores[Team Number],RobotGameScores[Robot Game 1 Score],0,0,))</f>
        <v>0</v>
      </c>
      <c r="D34" s="63">
        <f>IF(TournamentData[[#This Row],[Team Number]]="","",_xlfn.XLOOKUP(TournamentData[[#This Row],[Team Number]],RobotGameScores[Team Number],RobotGameScores[Robot Game 2 Score],0,0,))</f>
        <v>0</v>
      </c>
      <c r="E34" s="63">
        <f>IF(TournamentData[[#This Row],[Team Number]]="","",_xlfn.XLOOKUP(TournamentData[[#This Row],[Team Number]],RobotGameScores[Team Number],RobotGameScores[Robot Game 3 Score],0,0,))</f>
        <v>0</v>
      </c>
      <c r="F34" s="63">
        <f>IF(TournamentData[[#This Row],[Team Number]]="","",_xlfn.XLOOKUP(TournamentData[[#This Row],[Team Number]],RobotGameScores[Team Number],RobotGameScores[Robot Game 4 Score],0,0,))</f>
        <v>0</v>
      </c>
      <c r="G34" s="63">
        <f>IF(TournamentData[[#This Row],[Team Number]]="","",_xlfn.XLOOKUP(TournamentData[[#This Row],[Team Number]],RobotGameScores[Team Number],RobotGameScores[Robot Game 5 Score],0,0,))</f>
        <v>0</v>
      </c>
      <c r="H34"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34" s="63">
        <f>IF(TournamentData[[#This Row],[Team Number]]="","",_xlfn.RANK.EQ(TournamentData[[#This Row],[Max Robot Game Score]],TournamentData[Max Robot Game Score]))</f>
        <v>1</v>
      </c>
      <c r="J34" s="63">
        <f>IF(TournamentData[[#This Row],[Team Number]]="","",_xlfn.XLOOKUP(TournamentData[[#This Row],[Team Number]],CoreValuesResults[Team Number],CoreValuesResults[Core Values Rank],NumberOfTeams+1,0,))</f>
        <v>1</v>
      </c>
      <c r="K34" s="63">
        <f>IF(TournamentData[[#This Row],[Team Number]]="","",_xlfn.XLOOKUP(TournamentData[[#This Row],[Team Number]],InnovationProjectResults[Team Number],InnovationProjectResults[Innovation Project Rank],NumberOfTeams+1,0,))</f>
        <v>1</v>
      </c>
      <c r="L34" s="63">
        <f>IF(TournamentData[[#This Row],[Team Number]]="","",_xlfn.XLOOKUP(TournamentData[[#This Row],[Team Number]],RobotDesignResults[Team Number],RobotDesignResults[Robot Design Rank],NumberOfTeams+1,0,))</f>
        <v>1</v>
      </c>
      <c r="M34"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34" s="64">
        <f>IF(TournamentData[[#This Row],[Team Number]]="","",IF(M34,RANK(M34,M$3:M$202,1)-COUNTIF(M$3:M$202,0),NumberOfTeams+1))</f>
        <v>1</v>
      </c>
      <c r="O34" s="65">
        <f>_xlfn.XLOOKUP(TournamentData[[#This Row],[Team Number]],CoreValuesResults[Team Number],CoreValuesResults[Breakthrough Selection],0,0,)</f>
        <v>0</v>
      </c>
      <c r="P34" s="65">
        <f>_xlfn.XLOOKUP(TournamentData[[#This Row],[Team Number]],CoreValuesResults[Team Number],CoreValuesResults[Rising All-Star Selection],0,0,)</f>
        <v>0</v>
      </c>
      <c r="Q34" s="65">
        <f>_xlfn.XLOOKUP(TournamentData[[#This Row],[Team Number]],CoreValuesResults[Team Number],CoreValuesResults[Motivate Selection],0,0,)</f>
        <v>0</v>
      </c>
      <c r="R34" s="66"/>
      <c r="S34" s="66"/>
      <c r="T34" s="67"/>
      <c r="U34" s="63">
        <f>_xlfn.XLOOKUP(TournamentData[[#This Row],[Team Number]],CoreValuesResults[Team Number],CoreValuesResults[Core Values Score],0,0,)</f>
        <v>0</v>
      </c>
      <c r="V34" s="63">
        <f>_xlfn.XLOOKUP(TournamentData[[#This Row],[Team Number]],InnovationProjectResults[Team Number],InnovationProjectResults[Innovation Project Score],0,0,)</f>
        <v>0</v>
      </c>
      <c r="W34" s="63">
        <f>_xlfn.XLOOKUP(TournamentData[[#This Row],[Team Number]],RobotDesignResults[Team Number],RobotDesignResults[Robot Design Score],0,0,)</f>
        <v>0</v>
      </c>
      <c r="X34"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34" s="69">
        <f t="shared" si="0"/>
        <v>0</v>
      </c>
      <c r="Z34" s="66"/>
    </row>
    <row r="35" spans="1:26" ht="21" customHeight="1" x14ac:dyDescent="0.45">
      <c r="A35">
        <f>_xlfn.XLOOKUP(33,OfficialTeamList[Row],OfficialTeamList[Team Number],"ERROR",0)</f>
        <v>0</v>
      </c>
      <c r="B35" s="62" t="str">
        <f>_xlfn.XLOOKUP(TournamentData[[#This Row],[Team Number]],OfficialTeamList[Team Number],OfficialTeamList[Team Name],"",0,)</f>
        <v/>
      </c>
      <c r="C35" s="63">
        <f>IF(TournamentData[[#This Row],[Team Number]]="","",_xlfn.XLOOKUP(TournamentData[[#This Row],[Team Number]],RobotGameScores[Team Number],RobotGameScores[Robot Game 1 Score],0,0,))</f>
        <v>0</v>
      </c>
      <c r="D35" s="63">
        <f>IF(TournamentData[[#This Row],[Team Number]]="","",_xlfn.XLOOKUP(TournamentData[[#This Row],[Team Number]],RobotGameScores[Team Number],RobotGameScores[Robot Game 2 Score],0,0,))</f>
        <v>0</v>
      </c>
      <c r="E35" s="63">
        <f>IF(TournamentData[[#This Row],[Team Number]]="","",_xlfn.XLOOKUP(TournamentData[[#This Row],[Team Number]],RobotGameScores[Team Number],RobotGameScores[Robot Game 3 Score],0,0,))</f>
        <v>0</v>
      </c>
      <c r="F35" s="63">
        <f>IF(TournamentData[[#This Row],[Team Number]]="","",_xlfn.XLOOKUP(TournamentData[[#This Row],[Team Number]],RobotGameScores[Team Number],RobotGameScores[Robot Game 4 Score],0,0,))</f>
        <v>0</v>
      </c>
      <c r="G35" s="63">
        <f>IF(TournamentData[[#This Row],[Team Number]]="","",_xlfn.XLOOKUP(TournamentData[[#This Row],[Team Number]],RobotGameScores[Team Number],RobotGameScores[Robot Game 5 Score],0,0,))</f>
        <v>0</v>
      </c>
      <c r="H35"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35" s="63">
        <f>IF(TournamentData[[#This Row],[Team Number]]="","",_xlfn.RANK.EQ(TournamentData[[#This Row],[Max Robot Game Score]],TournamentData[Max Robot Game Score]))</f>
        <v>1</v>
      </c>
      <c r="J35" s="63">
        <f>IF(TournamentData[[#This Row],[Team Number]]="","",_xlfn.XLOOKUP(TournamentData[[#This Row],[Team Number]],CoreValuesResults[Team Number],CoreValuesResults[Core Values Rank],NumberOfTeams+1,0,))</f>
        <v>1</v>
      </c>
      <c r="K35" s="63">
        <f>IF(TournamentData[[#This Row],[Team Number]]="","",_xlfn.XLOOKUP(TournamentData[[#This Row],[Team Number]],InnovationProjectResults[Team Number],InnovationProjectResults[Innovation Project Rank],NumberOfTeams+1,0,))</f>
        <v>1</v>
      </c>
      <c r="L35" s="63">
        <f>IF(TournamentData[[#This Row],[Team Number]]="","",_xlfn.XLOOKUP(TournamentData[[#This Row],[Team Number]],RobotDesignResults[Team Number],RobotDesignResults[Robot Design Rank],NumberOfTeams+1,0,))</f>
        <v>1</v>
      </c>
      <c r="M35"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35" s="64">
        <f>IF(TournamentData[[#This Row],[Team Number]]="","",IF(M35,RANK(M35,M$3:M$202,1)-COUNTIF(M$3:M$202,0),NumberOfTeams+1))</f>
        <v>1</v>
      </c>
      <c r="O35" s="65">
        <f>_xlfn.XLOOKUP(TournamentData[[#This Row],[Team Number]],CoreValuesResults[Team Number],CoreValuesResults[Breakthrough Selection],0,0,)</f>
        <v>0</v>
      </c>
      <c r="P35" s="65">
        <f>_xlfn.XLOOKUP(TournamentData[[#This Row],[Team Number]],CoreValuesResults[Team Number],CoreValuesResults[Rising All-Star Selection],0,0,)</f>
        <v>0</v>
      </c>
      <c r="Q35" s="65">
        <f>_xlfn.XLOOKUP(TournamentData[[#This Row],[Team Number]],CoreValuesResults[Team Number],CoreValuesResults[Motivate Selection],0,0,)</f>
        <v>0</v>
      </c>
      <c r="R35" s="66"/>
      <c r="S35" s="66"/>
      <c r="T35" s="67"/>
      <c r="U35" s="63">
        <f>_xlfn.XLOOKUP(TournamentData[[#This Row],[Team Number]],CoreValuesResults[Team Number],CoreValuesResults[Core Values Score],0,0,)</f>
        <v>0</v>
      </c>
      <c r="V35" s="63">
        <f>_xlfn.XLOOKUP(TournamentData[[#This Row],[Team Number]],InnovationProjectResults[Team Number],InnovationProjectResults[Innovation Project Score],0,0,)</f>
        <v>0</v>
      </c>
      <c r="W35" s="63">
        <f>_xlfn.XLOOKUP(TournamentData[[#This Row],[Team Number]],RobotDesignResults[Team Number],RobotDesignResults[Robot Design Score],0,0,)</f>
        <v>0</v>
      </c>
      <c r="X35"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35" s="69">
        <f t="shared" ref="Y35:Y66" si="1">IF(X35,_xlfn.RANK.EQ(X35,X$3:X$110,0),NumberOfTeams)</f>
        <v>0</v>
      </c>
      <c r="Z35" s="66"/>
    </row>
    <row r="36" spans="1:26" ht="21" customHeight="1" x14ac:dyDescent="0.45">
      <c r="A36">
        <f>_xlfn.XLOOKUP(34,OfficialTeamList[Row],OfficialTeamList[Team Number],"ERROR",0)</f>
        <v>0</v>
      </c>
      <c r="B36" s="62" t="str">
        <f>_xlfn.XLOOKUP(TournamentData[[#This Row],[Team Number]],OfficialTeamList[Team Number],OfficialTeamList[Team Name],"",0,)</f>
        <v/>
      </c>
      <c r="C36" s="63">
        <f>IF(TournamentData[[#This Row],[Team Number]]="","",_xlfn.XLOOKUP(TournamentData[[#This Row],[Team Number]],RobotGameScores[Team Number],RobotGameScores[Robot Game 1 Score],0,0,))</f>
        <v>0</v>
      </c>
      <c r="D36" s="63">
        <f>IF(TournamentData[[#This Row],[Team Number]]="","",_xlfn.XLOOKUP(TournamentData[[#This Row],[Team Number]],RobotGameScores[Team Number],RobotGameScores[Robot Game 2 Score],0,0,))</f>
        <v>0</v>
      </c>
      <c r="E36" s="63">
        <f>IF(TournamentData[[#This Row],[Team Number]]="","",_xlfn.XLOOKUP(TournamentData[[#This Row],[Team Number]],RobotGameScores[Team Number],RobotGameScores[Robot Game 3 Score],0,0,))</f>
        <v>0</v>
      </c>
      <c r="F36" s="63">
        <f>IF(TournamentData[[#This Row],[Team Number]]="","",_xlfn.XLOOKUP(TournamentData[[#This Row],[Team Number]],RobotGameScores[Team Number],RobotGameScores[Robot Game 4 Score],0,0,))</f>
        <v>0</v>
      </c>
      <c r="G36" s="63">
        <f>IF(TournamentData[[#This Row],[Team Number]]="","",_xlfn.XLOOKUP(TournamentData[[#This Row],[Team Number]],RobotGameScores[Team Number],RobotGameScores[Robot Game 5 Score],0,0,))</f>
        <v>0</v>
      </c>
      <c r="H36"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36" s="63">
        <f>IF(TournamentData[[#This Row],[Team Number]]="","",_xlfn.RANK.EQ(TournamentData[[#This Row],[Max Robot Game Score]],TournamentData[Max Robot Game Score]))</f>
        <v>1</v>
      </c>
      <c r="J36" s="63">
        <f>IF(TournamentData[[#This Row],[Team Number]]="","",_xlfn.XLOOKUP(TournamentData[[#This Row],[Team Number]],CoreValuesResults[Team Number],CoreValuesResults[Core Values Rank],NumberOfTeams+1,0,))</f>
        <v>1</v>
      </c>
      <c r="K36" s="63">
        <f>IF(TournamentData[[#This Row],[Team Number]]="","",_xlfn.XLOOKUP(TournamentData[[#This Row],[Team Number]],InnovationProjectResults[Team Number],InnovationProjectResults[Innovation Project Rank],NumberOfTeams+1,0,))</f>
        <v>1</v>
      </c>
      <c r="L36" s="63">
        <f>IF(TournamentData[[#This Row],[Team Number]]="","",_xlfn.XLOOKUP(TournamentData[[#This Row],[Team Number]],RobotDesignResults[Team Number],RobotDesignResults[Robot Design Rank],NumberOfTeams+1,0,))</f>
        <v>1</v>
      </c>
      <c r="M36"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36" s="64">
        <f>IF(TournamentData[[#This Row],[Team Number]]="","",IF(M36,RANK(M36,M$3:M$202,1)-COUNTIF(M$3:M$202,0),NumberOfTeams+1))</f>
        <v>1</v>
      </c>
      <c r="O36" s="70">
        <f>_xlfn.XLOOKUP(TournamentData[[#This Row],[Team Number]],CoreValuesResults[Team Number],CoreValuesResults[Breakthrough Selection],0,0,)</f>
        <v>0</v>
      </c>
      <c r="P36" s="70">
        <f>_xlfn.XLOOKUP(TournamentData[[#This Row],[Team Number]],CoreValuesResults[Team Number],CoreValuesResults[Rising All-Star Selection],0,0,)</f>
        <v>0</v>
      </c>
      <c r="Q36" s="70">
        <f>_xlfn.XLOOKUP(TournamentData[[#This Row],[Team Number]],CoreValuesResults[Team Number],CoreValuesResults[Motivate Selection],0,0,)</f>
        <v>0</v>
      </c>
      <c r="R36" s="66"/>
      <c r="S36" s="66"/>
      <c r="T36" s="67"/>
      <c r="U36" s="63">
        <f>_xlfn.XLOOKUP(TournamentData[[#This Row],[Team Number]],CoreValuesResults[Team Number],CoreValuesResults[Core Values Score],0,0,)</f>
        <v>0</v>
      </c>
      <c r="V36" s="63">
        <f>_xlfn.XLOOKUP(TournamentData[[#This Row],[Team Number]],InnovationProjectResults[Team Number],InnovationProjectResults[Innovation Project Score],0,0,)</f>
        <v>0</v>
      </c>
      <c r="W36" s="63">
        <f>_xlfn.XLOOKUP(TournamentData[[#This Row],[Team Number]],RobotDesignResults[Team Number],RobotDesignResults[Robot Design Score],0,0,)</f>
        <v>0</v>
      </c>
      <c r="X36"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36" s="69">
        <f t="shared" si="1"/>
        <v>0</v>
      </c>
      <c r="Z36" s="66"/>
    </row>
    <row r="37" spans="1:26" ht="21" customHeight="1" x14ac:dyDescent="0.45">
      <c r="A37">
        <f>_xlfn.XLOOKUP(35,OfficialTeamList[Row],OfficialTeamList[Team Number],"ERROR",0)</f>
        <v>0</v>
      </c>
      <c r="B37" s="62" t="str">
        <f>_xlfn.XLOOKUP(TournamentData[[#This Row],[Team Number]],OfficialTeamList[Team Number],OfficialTeamList[Team Name],"",0,)</f>
        <v/>
      </c>
      <c r="C37" s="63">
        <f>IF(TournamentData[[#This Row],[Team Number]]="","",_xlfn.XLOOKUP(TournamentData[[#This Row],[Team Number]],RobotGameScores[Team Number],RobotGameScores[Robot Game 1 Score],0,0,))</f>
        <v>0</v>
      </c>
      <c r="D37" s="63">
        <f>IF(TournamentData[[#This Row],[Team Number]]="","",_xlfn.XLOOKUP(TournamentData[[#This Row],[Team Number]],RobotGameScores[Team Number],RobotGameScores[Robot Game 2 Score],0,0,))</f>
        <v>0</v>
      </c>
      <c r="E37" s="63">
        <f>IF(TournamentData[[#This Row],[Team Number]]="","",_xlfn.XLOOKUP(TournamentData[[#This Row],[Team Number]],RobotGameScores[Team Number],RobotGameScores[Robot Game 3 Score],0,0,))</f>
        <v>0</v>
      </c>
      <c r="F37" s="63">
        <f>IF(TournamentData[[#This Row],[Team Number]]="","",_xlfn.XLOOKUP(TournamentData[[#This Row],[Team Number]],RobotGameScores[Team Number],RobotGameScores[Robot Game 4 Score],0,0,))</f>
        <v>0</v>
      </c>
      <c r="G37" s="63">
        <f>IF(TournamentData[[#This Row],[Team Number]]="","",_xlfn.XLOOKUP(TournamentData[[#This Row],[Team Number]],RobotGameScores[Team Number],RobotGameScores[Robot Game 5 Score],0,0,))</f>
        <v>0</v>
      </c>
      <c r="H37"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37" s="63">
        <f>IF(TournamentData[[#This Row],[Team Number]]="","",_xlfn.RANK.EQ(TournamentData[[#This Row],[Max Robot Game Score]],TournamentData[Max Robot Game Score]))</f>
        <v>1</v>
      </c>
      <c r="J37" s="63">
        <f>IF(TournamentData[[#This Row],[Team Number]]="","",_xlfn.XLOOKUP(TournamentData[[#This Row],[Team Number]],CoreValuesResults[Team Number],CoreValuesResults[Core Values Rank],NumberOfTeams+1,0,))</f>
        <v>1</v>
      </c>
      <c r="K37" s="63">
        <f>IF(TournamentData[[#This Row],[Team Number]]="","",_xlfn.XLOOKUP(TournamentData[[#This Row],[Team Number]],InnovationProjectResults[Team Number],InnovationProjectResults[Innovation Project Rank],NumberOfTeams+1,0,))</f>
        <v>1</v>
      </c>
      <c r="L37" s="63">
        <f>IF(TournamentData[[#This Row],[Team Number]]="","",_xlfn.XLOOKUP(TournamentData[[#This Row],[Team Number]],RobotDesignResults[Team Number],RobotDesignResults[Robot Design Rank],NumberOfTeams+1,0,))</f>
        <v>1</v>
      </c>
      <c r="M37"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37" s="64">
        <f>IF(TournamentData[[#This Row],[Team Number]]="","",IF(M37,RANK(M37,M$3:M$202,1)-COUNTIF(M$3:M$202,0),NumberOfTeams+1))</f>
        <v>1</v>
      </c>
      <c r="O37" s="65">
        <f>_xlfn.XLOOKUP(TournamentData[[#This Row],[Team Number]],CoreValuesResults[Team Number],CoreValuesResults[Breakthrough Selection],0,0,)</f>
        <v>0</v>
      </c>
      <c r="P37" s="65">
        <f>_xlfn.XLOOKUP(TournamentData[[#This Row],[Team Number]],CoreValuesResults[Team Number],CoreValuesResults[Rising All-Star Selection],0,0,)</f>
        <v>0</v>
      </c>
      <c r="Q37" s="65">
        <f>_xlfn.XLOOKUP(TournamentData[[#This Row],[Team Number]],CoreValuesResults[Team Number],CoreValuesResults[Motivate Selection],0,0,)</f>
        <v>0</v>
      </c>
      <c r="R37" s="66"/>
      <c r="S37" s="66"/>
      <c r="T37" s="67"/>
      <c r="U37" s="63">
        <f>_xlfn.XLOOKUP(TournamentData[[#This Row],[Team Number]],CoreValuesResults[Team Number],CoreValuesResults[Core Values Score],0,0,)</f>
        <v>0</v>
      </c>
      <c r="V37" s="63">
        <f>_xlfn.XLOOKUP(TournamentData[[#This Row],[Team Number]],InnovationProjectResults[Team Number],InnovationProjectResults[Innovation Project Score],0,0,)</f>
        <v>0</v>
      </c>
      <c r="W37" s="63">
        <f>_xlfn.XLOOKUP(TournamentData[[#This Row],[Team Number]],RobotDesignResults[Team Number],RobotDesignResults[Robot Design Score],0,0,)</f>
        <v>0</v>
      </c>
      <c r="X37"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37" s="69">
        <f t="shared" si="1"/>
        <v>0</v>
      </c>
      <c r="Z37" s="66"/>
    </row>
    <row r="38" spans="1:26" ht="21" customHeight="1" x14ac:dyDescent="0.45">
      <c r="A38">
        <f>_xlfn.XLOOKUP(36,OfficialTeamList[Row],OfficialTeamList[Team Number],"ERROR",0)</f>
        <v>0</v>
      </c>
      <c r="B38" s="62" t="str">
        <f>_xlfn.XLOOKUP(TournamentData[[#This Row],[Team Number]],OfficialTeamList[Team Number],OfficialTeamList[Team Name],"",0,)</f>
        <v/>
      </c>
      <c r="C38" s="63">
        <f>IF(TournamentData[[#This Row],[Team Number]]="","",_xlfn.XLOOKUP(TournamentData[[#This Row],[Team Number]],RobotGameScores[Team Number],RobotGameScores[Robot Game 1 Score],0,0,))</f>
        <v>0</v>
      </c>
      <c r="D38" s="63">
        <f>IF(TournamentData[[#This Row],[Team Number]]="","",_xlfn.XLOOKUP(TournamentData[[#This Row],[Team Number]],RobotGameScores[Team Number],RobotGameScores[Robot Game 2 Score],0,0,))</f>
        <v>0</v>
      </c>
      <c r="E38" s="63">
        <f>IF(TournamentData[[#This Row],[Team Number]]="","",_xlfn.XLOOKUP(TournamentData[[#This Row],[Team Number]],RobotGameScores[Team Number],RobotGameScores[Robot Game 3 Score],0,0,))</f>
        <v>0</v>
      </c>
      <c r="F38" s="63">
        <f>IF(TournamentData[[#This Row],[Team Number]]="","",_xlfn.XLOOKUP(TournamentData[[#This Row],[Team Number]],RobotGameScores[Team Number],RobotGameScores[Robot Game 4 Score],0,0,))</f>
        <v>0</v>
      </c>
      <c r="G38" s="63">
        <f>IF(TournamentData[[#This Row],[Team Number]]="","",_xlfn.XLOOKUP(TournamentData[[#This Row],[Team Number]],RobotGameScores[Team Number],RobotGameScores[Robot Game 5 Score],0,0,))</f>
        <v>0</v>
      </c>
      <c r="H38"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38" s="63">
        <f>IF(TournamentData[[#This Row],[Team Number]]="","",_xlfn.RANK.EQ(TournamentData[[#This Row],[Max Robot Game Score]],TournamentData[Max Robot Game Score]))</f>
        <v>1</v>
      </c>
      <c r="J38" s="63">
        <f>IF(TournamentData[[#This Row],[Team Number]]="","",_xlfn.XLOOKUP(TournamentData[[#This Row],[Team Number]],CoreValuesResults[Team Number],CoreValuesResults[Core Values Rank],NumberOfTeams+1,0,))</f>
        <v>1</v>
      </c>
      <c r="K38" s="63">
        <f>IF(TournamentData[[#This Row],[Team Number]]="","",_xlfn.XLOOKUP(TournamentData[[#This Row],[Team Number]],InnovationProjectResults[Team Number],InnovationProjectResults[Innovation Project Rank],NumberOfTeams+1,0,))</f>
        <v>1</v>
      </c>
      <c r="L38" s="63">
        <f>IF(TournamentData[[#This Row],[Team Number]]="","",_xlfn.XLOOKUP(TournamentData[[#This Row],[Team Number]],RobotDesignResults[Team Number],RobotDesignResults[Robot Design Rank],NumberOfTeams+1,0,))</f>
        <v>1</v>
      </c>
      <c r="M38"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38" s="64">
        <f>IF(TournamentData[[#This Row],[Team Number]]="","",IF(M38,RANK(M38,M$3:M$202,1)-COUNTIF(M$3:M$202,0),NumberOfTeams+1))</f>
        <v>1</v>
      </c>
      <c r="O38" s="65">
        <f>_xlfn.XLOOKUP(TournamentData[[#This Row],[Team Number]],CoreValuesResults[Team Number],CoreValuesResults[Breakthrough Selection],0,0,)</f>
        <v>0</v>
      </c>
      <c r="P38" s="65">
        <f>_xlfn.XLOOKUP(TournamentData[[#This Row],[Team Number]],CoreValuesResults[Team Number],CoreValuesResults[Rising All-Star Selection],0,0,)</f>
        <v>0</v>
      </c>
      <c r="Q38" s="65">
        <f>_xlfn.XLOOKUP(TournamentData[[#This Row],[Team Number]],CoreValuesResults[Team Number],CoreValuesResults[Motivate Selection],0,0,)</f>
        <v>0</v>
      </c>
      <c r="R38" s="66"/>
      <c r="S38" s="66"/>
      <c r="T38" s="67"/>
      <c r="U38" s="63">
        <f>_xlfn.XLOOKUP(TournamentData[[#This Row],[Team Number]],CoreValuesResults[Team Number],CoreValuesResults[Core Values Score],0,0,)</f>
        <v>0</v>
      </c>
      <c r="V38" s="63">
        <f>_xlfn.XLOOKUP(TournamentData[[#This Row],[Team Number]],InnovationProjectResults[Team Number],InnovationProjectResults[Innovation Project Score],0,0,)</f>
        <v>0</v>
      </c>
      <c r="W38" s="63">
        <f>_xlfn.XLOOKUP(TournamentData[[#This Row],[Team Number]],RobotDesignResults[Team Number],RobotDesignResults[Robot Design Score],0,0,)</f>
        <v>0</v>
      </c>
      <c r="X38"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38" s="69">
        <f t="shared" si="1"/>
        <v>0</v>
      </c>
      <c r="Z38" s="66"/>
    </row>
    <row r="39" spans="1:26" ht="21" customHeight="1" x14ac:dyDescent="0.45">
      <c r="A39">
        <f>_xlfn.XLOOKUP(37,OfficialTeamList[Row],OfficialTeamList[Team Number],"ERROR",0)</f>
        <v>0</v>
      </c>
      <c r="B39" s="62" t="str">
        <f>_xlfn.XLOOKUP(TournamentData[[#This Row],[Team Number]],OfficialTeamList[Team Number],OfficialTeamList[Team Name],"",0,)</f>
        <v/>
      </c>
      <c r="C39" s="63">
        <f>IF(TournamentData[[#This Row],[Team Number]]="","",_xlfn.XLOOKUP(TournamentData[[#This Row],[Team Number]],RobotGameScores[Team Number],RobotGameScores[Robot Game 1 Score],0,0,))</f>
        <v>0</v>
      </c>
      <c r="D39" s="63">
        <f>IF(TournamentData[[#This Row],[Team Number]]="","",_xlfn.XLOOKUP(TournamentData[[#This Row],[Team Number]],RobotGameScores[Team Number],RobotGameScores[Robot Game 2 Score],0,0,))</f>
        <v>0</v>
      </c>
      <c r="E39" s="63">
        <f>IF(TournamentData[[#This Row],[Team Number]]="","",_xlfn.XLOOKUP(TournamentData[[#This Row],[Team Number]],RobotGameScores[Team Number],RobotGameScores[Robot Game 3 Score],0,0,))</f>
        <v>0</v>
      </c>
      <c r="F39" s="63">
        <f>IF(TournamentData[[#This Row],[Team Number]]="","",_xlfn.XLOOKUP(TournamentData[[#This Row],[Team Number]],RobotGameScores[Team Number],RobotGameScores[Robot Game 4 Score],0,0,))</f>
        <v>0</v>
      </c>
      <c r="G39" s="63">
        <f>IF(TournamentData[[#This Row],[Team Number]]="","",_xlfn.XLOOKUP(TournamentData[[#This Row],[Team Number]],RobotGameScores[Team Number],RobotGameScores[Robot Game 5 Score],0,0,))</f>
        <v>0</v>
      </c>
      <c r="H39"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39" s="63">
        <f>IF(TournamentData[[#This Row],[Team Number]]="","",_xlfn.RANK.EQ(TournamentData[[#This Row],[Max Robot Game Score]],TournamentData[Max Robot Game Score]))</f>
        <v>1</v>
      </c>
      <c r="J39" s="63">
        <f>IF(TournamentData[[#This Row],[Team Number]]="","",_xlfn.XLOOKUP(TournamentData[[#This Row],[Team Number]],CoreValuesResults[Team Number],CoreValuesResults[Core Values Rank],NumberOfTeams+1,0,))</f>
        <v>1</v>
      </c>
      <c r="K39" s="63">
        <f>IF(TournamentData[[#This Row],[Team Number]]="","",_xlfn.XLOOKUP(TournamentData[[#This Row],[Team Number]],InnovationProjectResults[Team Number],InnovationProjectResults[Innovation Project Rank],NumberOfTeams+1,0,))</f>
        <v>1</v>
      </c>
      <c r="L39" s="63">
        <f>IF(TournamentData[[#This Row],[Team Number]]="","",_xlfn.XLOOKUP(TournamentData[[#This Row],[Team Number]],RobotDesignResults[Team Number],RobotDesignResults[Robot Design Rank],NumberOfTeams+1,0,))</f>
        <v>1</v>
      </c>
      <c r="M39"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39" s="64">
        <f>IF(TournamentData[[#This Row],[Team Number]]="","",IF(M39,RANK(M39,M$3:M$202,1)-COUNTIF(M$3:M$202,0),NumberOfTeams+1))</f>
        <v>1</v>
      </c>
      <c r="O39" s="65">
        <f>_xlfn.XLOOKUP(TournamentData[[#This Row],[Team Number]],CoreValuesResults[Team Number],CoreValuesResults[Breakthrough Selection],0,0,)</f>
        <v>0</v>
      </c>
      <c r="P39" s="65">
        <f>_xlfn.XLOOKUP(TournamentData[[#This Row],[Team Number]],CoreValuesResults[Team Number],CoreValuesResults[Rising All-Star Selection],0,0,)</f>
        <v>0</v>
      </c>
      <c r="Q39" s="65">
        <f>_xlfn.XLOOKUP(TournamentData[[#This Row],[Team Number]],CoreValuesResults[Team Number],CoreValuesResults[Motivate Selection],0,0,)</f>
        <v>0</v>
      </c>
      <c r="R39" s="66"/>
      <c r="S39" s="66"/>
      <c r="T39" s="67"/>
      <c r="U39" s="63">
        <f>_xlfn.XLOOKUP(TournamentData[[#This Row],[Team Number]],CoreValuesResults[Team Number],CoreValuesResults[Core Values Score],0,0,)</f>
        <v>0</v>
      </c>
      <c r="V39" s="63">
        <f>_xlfn.XLOOKUP(TournamentData[[#This Row],[Team Number]],InnovationProjectResults[Team Number],InnovationProjectResults[Innovation Project Score],0,0,)</f>
        <v>0</v>
      </c>
      <c r="W39" s="63">
        <f>_xlfn.XLOOKUP(TournamentData[[#This Row],[Team Number]],RobotDesignResults[Team Number],RobotDesignResults[Robot Design Score],0,0,)</f>
        <v>0</v>
      </c>
      <c r="X39"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39" s="69">
        <f t="shared" si="1"/>
        <v>0</v>
      </c>
      <c r="Z39" s="66"/>
    </row>
    <row r="40" spans="1:26" ht="21" customHeight="1" x14ac:dyDescent="0.45">
      <c r="A40">
        <f>_xlfn.XLOOKUP(38,OfficialTeamList[Row],OfficialTeamList[Team Number],"ERROR",0)</f>
        <v>0</v>
      </c>
      <c r="B40" s="62" t="str">
        <f>_xlfn.XLOOKUP(TournamentData[[#This Row],[Team Number]],OfficialTeamList[Team Number],OfficialTeamList[Team Name],"",0,)</f>
        <v/>
      </c>
      <c r="C40" s="63">
        <f>IF(TournamentData[[#This Row],[Team Number]]="","",_xlfn.XLOOKUP(TournamentData[[#This Row],[Team Number]],RobotGameScores[Team Number],RobotGameScores[Robot Game 1 Score],0,0,))</f>
        <v>0</v>
      </c>
      <c r="D40" s="63">
        <f>IF(TournamentData[[#This Row],[Team Number]]="","",_xlfn.XLOOKUP(TournamentData[[#This Row],[Team Number]],RobotGameScores[Team Number],RobotGameScores[Robot Game 2 Score],0,0,))</f>
        <v>0</v>
      </c>
      <c r="E40" s="63">
        <f>IF(TournamentData[[#This Row],[Team Number]]="","",_xlfn.XLOOKUP(TournamentData[[#This Row],[Team Number]],RobotGameScores[Team Number],RobotGameScores[Robot Game 3 Score],0,0,))</f>
        <v>0</v>
      </c>
      <c r="F40" s="63">
        <f>IF(TournamentData[[#This Row],[Team Number]]="","",_xlfn.XLOOKUP(TournamentData[[#This Row],[Team Number]],RobotGameScores[Team Number],RobotGameScores[Robot Game 4 Score],0,0,))</f>
        <v>0</v>
      </c>
      <c r="G40" s="63">
        <f>IF(TournamentData[[#This Row],[Team Number]]="","",_xlfn.XLOOKUP(TournamentData[[#This Row],[Team Number]],RobotGameScores[Team Number],RobotGameScores[Robot Game 5 Score],0,0,))</f>
        <v>0</v>
      </c>
      <c r="H40"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40" s="63">
        <f>IF(TournamentData[[#This Row],[Team Number]]="","",_xlfn.RANK.EQ(TournamentData[[#This Row],[Max Robot Game Score]],TournamentData[Max Robot Game Score]))</f>
        <v>1</v>
      </c>
      <c r="J40" s="63">
        <f>IF(TournamentData[[#This Row],[Team Number]]="","",_xlfn.XLOOKUP(TournamentData[[#This Row],[Team Number]],CoreValuesResults[Team Number],CoreValuesResults[Core Values Rank],NumberOfTeams+1,0,))</f>
        <v>1</v>
      </c>
      <c r="K40" s="63">
        <f>IF(TournamentData[[#This Row],[Team Number]]="","",_xlfn.XLOOKUP(TournamentData[[#This Row],[Team Number]],InnovationProjectResults[Team Number],InnovationProjectResults[Innovation Project Rank],NumberOfTeams+1,0,))</f>
        <v>1</v>
      </c>
      <c r="L40" s="63">
        <f>IF(TournamentData[[#This Row],[Team Number]]="","",_xlfn.XLOOKUP(TournamentData[[#This Row],[Team Number]],RobotDesignResults[Team Number],RobotDesignResults[Robot Design Rank],NumberOfTeams+1,0,))</f>
        <v>1</v>
      </c>
      <c r="M40"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40" s="64">
        <f>IF(TournamentData[[#This Row],[Team Number]]="","",IF(M40,RANK(M40,M$3:M$202,1)-COUNTIF(M$3:M$202,0),NumberOfTeams+1))</f>
        <v>1</v>
      </c>
      <c r="O40" s="65">
        <f>_xlfn.XLOOKUP(TournamentData[[#This Row],[Team Number]],CoreValuesResults[Team Number],CoreValuesResults[Breakthrough Selection],0,0,)</f>
        <v>0</v>
      </c>
      <c r="P40" s="65">
        <f>_xlfn.XLOOKUP(TournamentData[[#This Row],[Team Number]],CoreValuesResults[Team Number],CoreValuesResults[Rising All-Star Selection],0,0,)</f>
        <v>0</v>
      </c>
      <c r="Q40" s="65">
        <f>_xlfn.XLOOKUP(TournamentData[[#This Row],[Team Number]],CoreValuesResults[Team Number],CoreValuesResults[Motivate Selection],0,0,)</f>
        <v>0</v>
      </c>
      <c r="R40" s="66"/>
      <c r="S40" s="66"/>
      <c r="T40" s="67"/>
      <c r="U40" s="63">
        <f>_xlfn.XLOOKUP(TournamentData[[#This Row],[Team Number]],CoreValuesResults[Team Number],CoreValuesResults[Core Values Score],0,0,)</f>
        <v>0</v>
      </c>
      <c r="V40" s="63">
        <f>_xlfn.XLOOKUP(TournamentData[[#This Row],[Team Number]],InnovationProjectResults[Team Number],InnovationProjectResults[Innovation Project Score],0,0,)</f>
        <v>0</v>
      </c>
      <c r="W40" s="63">
        <f>_xlfn.XLOOKUP(TournamentData[[#This Row],[Team Number]],RobotDesignResults[Team Number],RobotDesignResults[Robot Design Score],0,0,)</f>
        <v>0</v>
      </c>
      <c r="X40"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40" s="69">
        <f t="shared" si="1"/>
        <v>0</v>
      </c>
      <c r="Z40" s="66"/>
    </row>
    <row r="41" spans="1:26" ht="21" customHeight="1" x14ac:dyDescent="0.45">
      <c r="A41">
        <f>_xlfn.XLOOKUP(39,OfficialTeamList[Row],OfficialTeamList[Team Number],"ERROR",0)</f>
        <v>0</v>
      </c>
      <c r="B41" s="62" t="str">
        <f>_xlfn.XLOOKUP(TournamentData[[#This Row],[Team Number]],OfficialTeamList[Team Number],OfficialTeamList[Team Name],"",0,)</f>
        <v/>
      </c>
      <c r="C41" s="63">
        <f>IF(TournamentData[[#This Row],[Team Number]]="","",_xlfn.XLOOKUP(TournamentData[[#This Row],[Team Number]],RobotGameScores[Team Number],RobotGameScores[Robot Game 1 Score],0,0,))</f>
        <v>0</v>
      </c>
      <c r="D41" s="63">
        <f>IF(TournamentData[[#This Row],[Team Number]]="","",_xlfn.XLOOKUP(TournamentData[[#This Row],[Team Number]],RobotGameScores[Team Number],RobotGameScores[Robot Game 2 Score],0,0,))</f>
        <v>0</v>
      </c>
      <c r="E41" s="63">
        <f>IF(TournamentData[[#This Row],[Team Number]]="","",_xlfn.XLOOKUP(TournamentData[[#This Row],[Team Number]],RobotGameScores[Team Number],RobotGameScores[Robot Game 3 Score],0,0,))</f>
        <v>0</v>
      </c>
      <c r="F41" s="63">
        <f>IF(TournamentData[[#This Row],[Team Number]]="","",_xlfn.XLOOKUP(TournamentData[[#This Row],[Team Number]],RobotGameScores[Team Number],RobotGameScores[Robot Game 4 Score],0,0,))</f>
        <v>0</v>
      </c>
      <c r="G41" s="63">
        <f>IF(TournamentData[[#This Row],[Team Number]]="","",_xlfn.XLOOKUP(TournamentData[[#This Row],[Team Number]],RobotGameScores[Team Number],RobotGameScores[Robot Game 5 Score],0,0,))</f>
        <v>0</v>
      </c>
      <c r="H41"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41" s="63">
        <f>IF(TournamentData[[#This Row],[Team Number]]="","",_xlfn.RANK.EQ(TournamentData[[#This Row],[Max Robot Game Score]],TournamentData[Max Robot Game Score]))</f>
        <v>1</v>
      </c>
      <c r="J41" s="63">
        <f>IF(TournamentData[[#This Row],[Team Number]]="","",_xlfn.XLOOKUP(TournamentData[[#This Row],[Team Number]],CoreValuesResults[Team Number],CoreValuesResults[Core Values Rank],NumberOfTeams+1,0,))</f>
        <v>1</v>
      </c>
      <c r="K41" s="63">
        <f>IF(TournamentData[[#This Row],[Team Number]]="","",_xlfn.XLOOKUP(TournamentData[[#This Row],[Team Number]],InnovationProjectResults[Team Number],InnovationProjectResults[Innovation Project Rank],NumberOfTeams+1,0,))</f>
        <v>1</v>
      </c>
      <c r="L41" s="63">
        <f>IF(TournamentData[[#This Row],[Team Number]]="","",_xlfn.XLOOKUP(TournamentData[[#This Row],[Team Number]],RobotDesignResults[Team Number],RobotDesignResults[Robot Design Rank],NumberOfTeams+1,0,))</f>
        <v>1</v>
      </c>
      <c r="M41"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41" s="64">
        <f>IF(TournamentData[[#This Row],[Team Number]]="","",IF(M41,RANK(M41,M$3:M$202,1)-COUNTIF(M$3:M$202,0),NumberOfTeams+1))</f>
        <v>1</v>
      </c>
      <c r="O41" s="65">
        <f>_xlfn.XLOOKUP(TournamentData[[#This Row],[Team Number]],CoreValuesResults[Team Number],CoreValuesResults[Breakthrough Selection],0,0,)</f>
        <v>0</v>
      </c>
      <c r="P41" s="65">
        <f>_xlfn.XLOOKUP(TournamentData[[#This Row],[Team Number]],CoreValuesResults[Team Number],CoreValuesResults[Rising All-Star Selection],0,0,)</f>
        <v>0</v>
      </c>
      <c r="Q41" s="65">
        <f>_xlfn.XLOOKUP(TournamentData[[#This Row],[Team Number]],CoreValuesResults[Team Number],CoreValuesResults[Motivate Selection],0,0,)</f>
        <v>0</v>
      </c>
      <c r="R41" s="66"/>
      <c r="S41" s="66"/>
      <c r="T41" s="67"/>
      <c r="U41" s="63">
        <f>_xlfn.XLOOKUP(TournamentData[[#This Row],[Team Number]],CoreValuesResults[Team Number],CoreValuesResults[Core Values Score],0,0,)</f>
        <v>0</v>
      </c>
      <c r="V41" s="63">
        <f>_xlfn.XLOOKUP(TournamentData[[#This Row],[Team Number]],InnovationProjectResults[Team Number],InnovationProjectResults[Innovation Project Score],0,0,)</f>
        <v>0</v>
      </c>
      <c r="W41" s="63">
        <f>_xlfn.XLOOKUP(TournamentData[[#This Row],[Team Number]],RobotDesignResults[Team Number],RobotDesignResults[Robot Design Score],0,0,)</f>
        <v>0</v>
      </c>
      <c r="X41"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41" s="69">
        <f t="shared" si="1"/>
        <v>0</v>
      </c>
      <c r="Z41" s="66"/>
    </row>
    <row r="42" spans="1:26" ht="21" customHeight="1" x14ac:dyDescent="0.45">
      <c r="A42">
        <f>_xlfn.XLOOKUP(40,OfficialTeamList[Row],OfficialTeamList[Team Number],"ERROR",0)</f>
        <v>0</v>
      </c>
      <c r="B42" s="62" t="str">
        <f>_xlfn.XLOOKUP(TournamentData[[#This Row],[Team Number]],OfficialTeamList[Team Number],OfficialTeamList[Team Name],"",0,)</f>
        <v/>
      </c>
      <c r="C42" s="63">
        <f>IF(TournamentData[[#This Row],[Team Number]]="","",_xlfn.XLOOKUP(TournamentData[[#This Row],[Team Number]],RobotGameScores[Team Number],RobotGameScores[Robot Game 1 Score],0,0,))</f>
        <v>0</v>
      </c>
      <c r="D42" s="63">
        <f>IF(TournamentData[[#This Row],[Team Number]]="","",_xlfn.XLOOKUP(TournamentData[[#This Row],[Team Number]],RobotGameScores[Team Number],RobotGameScores[Robot Game 2 Score],0,0,))</f>
        <v>0</v>
      </c>
      <c r="E42" s="63">
        <f>IF(TournamentData[[#This Row],[Team Number]]="","",_xlfn.XLOOKUP(TournamentData[[#This Row],[Team Number]],RobotGameScores[Team Number],RobotGameScores[Robot Game 3 Score],0,0,))</f>
        <v>0</v>
      </c>
      <c r="F42" s="63">
        <f>IF(TournamentData[[#This Row],[Team Number]]="","",_xlfn.XLOOKUP(TournamentData[[#This Row],[Team Number]],RobotGameScores[Team Number],RobotGameScores[Robot Game 4 Score],0,0,))</f>
        <v>0</v>
      </c>
      <c r="G42" s="63">
        <f>IF(TournamentData[[#This Row],[Team Number]]="","",_xlfn.XLOOKUP(TournamentData[[#This Row],[Team Number]],RobotGameScores[Team Number],RobotGameScores[Robot Game 5 Score],0,0,))</f>
        <v>0</v>
      </c>
      <c r="H42"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42" s="63">
        <f>IF(TournamentData[[#This Row],[Team Number]]="","",_xlfn.RANK.EQ(TournamentData[[#This Row],[Max Robot Game Score]],TournamentData[Max Robot Game Score]))</f>
        <v>1</v>
      </c>
      <c r="J42" s="63">
        <f>IF(TournamentData[[#This Row],[Team Number]]="","",_xlfn.XLOOKUP(TournamentData[[#This Row],[Team Number]],CoreValuesResults[Team Number],CoreValuesResults[Core Values Rank],NumberOfTeams+1,0,))</f>
        <v>1</v>
      </c>
      <c r="K42" s="63">
        <f>IF(TournamentData[[#This Row],[Team Number]]="","",_xlfn.XLOOKUP(TournamentData[[#This Row],[Team Number]],InnovationProjectResults[Team Number],InnovationProjectResults[Innovation Project Rank],NumberOfTeams+1,0,))</f>
        <v>1</v>
      </c>
      <c r="L42" s="63">
        <f>IF(TournamentData[[#This Row],[Team Number]]="","",_xlfn.XLOOKUP(TournamentData[[#This Row],[Team Number]],RobotDesignResults[Team Number],RobotDesignResults[Robot Design Rank],NumberOfTeams+1,0,))</f>
        <v>1</v>
      </c>
      <c r="M42"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42" s="64">
        <f>IF(TournamentData[[#This Row],[Team Number]]="","",IF(M42,RANK(M42,M$3:M$202,1)-COUNTIF(M$3:M$202,0),NumberOfTeams+1))</f>
        <v>1</v>
      </c>
      <c r="O42" s="65">
        <f>_xlfn.XLOOKUP(TournamentData[[#This Row],[Team Number]],CoreValuesResults[Team Number],CoreValuesResults[Breakthrough Selection],0,0,)</f>
        <v>0</v>
      </c>
      <c r="P42" s="65">
        <f>_xlfn.XLOOKUP(TournamentData[[#This Row],[Team Number]],CoreValuesResults[Team Number],CoreValuesResults[Rising All-Star Selection],0,0,)</f>
        <v>0</v>
      </c>
      <c r="Q42" s="65">
        <f>_xlfn.XLOOKUP(TournamentData[[#This Row],[Team Number]],CoreValuesResults[Team Number],CoreValuesResults[Motivate Selection],0,0,)</f>
        <v>0</v>
      </c>
      <c r="R42" s="66"/>
      <c r="S42" s="66"/>
      <c r="T42" s="67"/>
      <c r="U42" s="63">
        <f>_xlfn.XLOOKUP(TournamentData[[#This Row],[Team Number]],CoreValuesResults[Team Number],CoreValuesResults[Core Values Score],0,0,)</f>
        <v>0</v>
      </c>
      <c r="V42" s="63">
        <f>_xlfn.XLOOKUP(TournamentData[[#This Row],[Team Number]],InnovationProjectResults[Team Number],InnovationProjectResults[Innovation Project Score],0,0,)</f>
        <v>0</v>
      </c>
      <c r="W42" s="63">
        <f>_xlfn.XLOOKUP(TournamentData[[#This Row],[Team Number]],RobotDesignResults[Team Number],RobotDesignResults[Robot Design Score],0,0,)</f>
        <v>0</v>
      </c>
      <c r="X42"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42" s="69">
        <f t="shared" si="1"/>
        <v>0</v>
      </c>
      <c r="Z42" s="66"/>
    </row>
    <row r="43" spans="1:26" ht="21" customHeight="1" x14ac:dyDescent="0.45">
      <c r="A43">
        <f>_xlfn.XLOOKUP(41,OfficialTeamList[Row],OfficialTeamList[Team Number],"ERROR",0)</f>
        <v>0</v>
      </c>
      <c r="B43" s="62" t="str">
        <f>_xlfn.XLOOKUP(TournamentData[[#This Row],[Team Number]],OfficialTeamList[Team Number],OfficialTeamList[Team Name],"",0,)</f>
        <v/>
      </c>
      <c r="C43" s="63">
        <f>IF(TournamentData[[#This Row],[Team Number]]="","",_xlfn.XLOOKUP(TournamentData[[#This Row],[Team Number]],RobotGameScores[Team Number],RobotGameScores[Robot Game 1 Score],0,0,))</f>
        <v>0</v>
      </c>
      <c r="D43" s="63">
        <f>IF(TournamentData[[#This Row],[Team Number]]="","",_xlfn.XLOOKUP(TournamentData[[#This Row],[Team Number]],RobotGameScores[Team Number],RobotGameScores[Robot Game 2 Score],0,0,))</f>
        <v>0</v>
      </c>
      <c r="E43" s="63">
        <f>IF(TournamentData[[#This Row],[Team Number]]="","",_xlfn.XLOOKUP(TournamentData[[#This Row],[Team Number]],RobotGameScores[Team Number],RobotGameScores[Robot Game 3 Score],0,0,))</f>
        <v>0</v>
      </c>
      <c r="F43" s="63">
        <f>IF(TournamentData[[#This Row],[Team Number]]="","",_xlfn.XLOOKUP(TournamentData[[#This Row],[Team Number]],RobotGameScores[Team Number],RobotGameScores[Robot Game 4 Score],0,0,))</f>
        <v>0</v>
      </c>
      <c r="G43" s="63">
        <f>IF(TournamentData[[#This Row],[Team Number]]="","",_xlfn.XLOOKUP(TournamentData[[#This Row],[Team Number]],RobotGameScores[Team Number],RobotGameScores[Robot Game 5 Score],0,0,))</f>
        <v>0</v>
      </c>
      <c r="H43"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43" s="63">
        <f>IF(TournamentData[[#This Row],[Team Number]]="","",_xlfn.RANK.EQ(TournamentData[[#This Row],[Max Robot Game Score]],TournamentData[Max Robot Game Score]))</f>
        <v>1</v>
      </c>
      <c r="J43" s="63">
        <f>IF(TournamentData[[#This Row],[Team Number]]="","",_xlfn.XLOOKUP(TournamentData[[#This Row],[Team Number]],CoreValuesResults[Team Number],CoreValuesResults[Core Values Rank],NumberOfTeams+1,0,))</f>
        <v>1</v>
      </c>
      <c r="K43" s="63">
        <f>IF(TournamentData[[#This Row],[Team Number]]="","",_xlfn.XLOOKUP(TournamentData[[#This Row],[Team Number]],InnovationProjectResults[Team Number],InnovationProjectResults[Innovation Project Rank],NumberOfTeams+1,0,))</f>
        <v>1</v>
      </c>
      <c r="L43" s="63">
        <f>IF(TournamentData[[#This Row],[Team Number]]="","",_xlfn.XLOOKUP(TournamentData[[#This Row],[Team Number]],RobotDesignResults[Team Number],RobotDesignResults[Robot Design Rank],NumberOfTeams+1,0,))</f>
        <v>1</v>
      </c>
      <c r="M43"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43" s="64">
        <f>IF(TournamentData[[#This Row],[Team Number]]="","",IF(M43,RANK(M43,M$3:M$202,1)-COUNTIF(M$3:M$202,0),NumberOfTeams+1))</f>
        <v>1</v>
      </c>
      <c r="O43" s="65">
        <f>_xlfn.XLOOKUP(TournamentData[[#This Row],[Team Number]],CoreValuesResults[Team Number],CoreValuesResults[Breakthrough Selection],0,0,)</f>
        <v>0</v>
      </c>
      <c r="P43" s="65">
        <f>_xlfn.XLOOKUP(TournamentData[[#This Row],[Team Number]],CoreValuesResults[Team Number],CoreValuesResults[Rising All-Star Selection],0,0,)</f>
        <v>0</v>
      </c>
      <c r="Q43" s="65">
        <f>_xlfn.XLOOKUP(TournamentData[[#This Row],[Team Number]],CoreValuesResults[Team Number],CoreValuesResults[Motivate Selection],0,0,)</f>
        <v>0</v>
      </c>
      <c r="R43" s="66"/>
      <c r="S43" s="66"/>
      <c r="T43" s="67"/>
      <c r="U43" s="63">
        <f>_xlfn.XLOOKUP(TournamentData[[#This Row],[Team Number]],CoreValuesResults[Team Number],CoreValuesResults[Core Values Score],0,0,)</f>
        <v>0</v>
      </c>
      <c r="V43" s="63">
        <f>_xlfn.XLOOKUP(TournamentData[[#This Row],[Team Number]],InnovationProjectResults[Team Number],InnovationProjectResults[Innovation Project Score],0,0,)</f>
        <v>0</v>
      </c>
      <c r="W43" s="63">
        <f>_xlfn.XLOOKUP(TournamentData[[#This Row],[Team Number]],RobotDesignResults[Team Number],RobotDesignResults[Robot Design Score],0,0,)</f>
        <v>0</v>
      </c>
      <c r="X43"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43" s="69">
        <f t="shared" si="1"/>
        <v>0</v>
      </c>
      <c r="Z43" s="66"/>
    </row>
    <row r="44" spans="1:26" ht="21" customHeight="1" x14ac:dyDescent="0.45">
      <c r="A44">
        <f>_xlfn.XLOOKUP(42,OfficialTeamList[Row],OfficialTeamList[Team Number],"ERROR",0)</f>
        <v>0</v>
      </c>
      <c r="B44" s="62" t="str">
        <f>_xlfn.XLOOKUP(TournamentData[[#This Row],[Team Number]],OfficialTeamList[Team Number],OfficialTeamList[Team Name],"",0,)</f>
        <v/>
      </c>
      <c r="C44" s="63">
        <f>IF(TournamentData[[#This Row],[Team Number]]="","",_xlfn.XLOOKUP(TournamentData[[#This Row],[Team Number]],RobotGameScores[Team Number],RobotGameScores[Robot Game 1 Score],0,0,))</f>
        <v>0</v>
      </c>
      <c r="D44" s="63">
        <f>IF(TournamentData[[#This Row],[Team Number]]="","",_xlfn.XLOOKUP(TournamentData[[#This Row],[Team Number]],RobotGameScores[Team Number],RobotGameScores[Robot Game 2 Score],0,0,))</f>
        <v>0</v>
      </c>
      <c r="E44" s="63">
        <f>IF(TournamentData[[#This Row],[Team Number]]="","",_xlfn.XLOOKUP(TournamentData[[#This Row],[Team Number]],RobotGameScores[Team Number],RobotGameScores[Robot Game 3 Score],0,0,))</f>
        <v>0</v>
      </c>
      <c r="F44" s="63">
        <f>IF(TournamentData[[#This Row],[Team Number]]="","",_xlfn.XLOOKUP(TournamentData[[#This Row],[Team Number]],RobotGameScores[Team Number],RobotGameScores[Robot Game 4 Score],0,0,))</f>
        <v>0</v>
      </c>
      <c r="G44" s="63">
        <f>IF(TournamentData[[#This Row],[Team Number]]="","",_xlfn.XLOOKUP(TournamentData[[#This Row],[Team Number]],RobotGameScores[Team Number],RobotGameScores[Robot Game 5 Score],0,0,))</f>
        <v>0</v>
      </c>
      <c r="H44"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44" s="63">
        <f>IF(TournamentData[[#This Row],[Team Number]]="","",_xlfn.RANK.EQ(TournamentData[[#This Row],[Max Robot Game Score]],TournamentData[Max Robot Game Score]))</f>
        <v>1</v>
      </c>
      <c r="J44" s="63">
        <f>IF(TournamentData[[#This Row],[Team Number]]="","",_xlfn.XLOOKUP(TournamentData[[#This Row],[Team Number]],CoreValuesResults[Team Number],CoreValuesResults[Core Values Rank],NumberOfTeams+1,0,))</f>
        <v>1</v>
      </c>
      <c r="K44" s="63">
        <f>IF(TournamentData[[#This Row],[Team Number]]="","",_xlfn.XLOOKUP(TournamentData[[#This Row],[Team Number]],InnovationProjectResults[Team Number],InnovationProjectResults[Innovation Project Rank],NumberOfTeams+1,0,))</f>
        <v>1</v>
      </c>
      <c r="L44" s="63">
        <f>IF(TournamentData[[#This Row],[Team Number]]="","",_xlfn.XLOOKUP(TournamentData[[#This Row],[Team Number]],RobotDesignResults[Team Number],RobotDesignResults[Robot Design Rank],NumberOfTeams+1,0,))</f>
        <v>1</v>
      </c>
      <c r="M44"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44" s="64">
        <f>IF(TournamentData[[#This Row],[Team Number]]="","",IF(M44,RANK(M44,M$3:M$202,1)-COUNTIF(M$3:M$202,0),NumberOfTeams+1))</f>
        <v>1</v>
      </c>
      <c r="O44" s="70">
        <f>_xlfn.XLOOKUP(TournamentData[[#This Row],[Team Number]],CoreValuesResults[Team Number],CoreValuesResults[Breakthrough Selection],0,0,)</f>
        <v>0</v>
      </c>
      <c r="P44" s="70">
        <f>_xlfn.XLOOKUP(TournamentData[[#This Row],[Team Number]],CoreValuesResults[Team Number],CoreValuesResults[Rising All-Star Selection],0,0,)</f>
        <v>0</v>
      </c>
      <c r="Q44" s="70">
        <f>_xlfn.XLOOKUP(TournamentData[[#This Row],[Team Number]],CoreValuesResults[Team Number],CoreValuesResults[Motivate Selection],0,0,)</f>
        <v>0</v>
      </c>
      <c r="R44" s="66"/>
      <c r="S44" s="66"/>
      <c r="T44" s="67"/>
      <c r="U44" s="63">
        <f>_xlfn.XLOOKUP(TournamentData[[#This Row],[Team Number]],CoreValuesResults[Team Number],CoreValuesResults[Core Values Score],0,0,)</f>
        <v>0</v>
      </c>
      <c r="V44" s="63">
        <f>_xlfn.XLOOKUP(TournamentData[[#This Row],[Team Number]],InnovationProjectResults[Team Number],InnovationProjectResults[Innovation Project Score],0,0,)</f>
        <v>0</v>
      </c>
      <c r="W44" s="63">
        <f>_xlfn.XLOOKUP(TournamentData[[#This Row],[Team Number]],RobotDesignResults[Team Number],RobotDesignResults[Robot Design Score],0,0,)</f>
        <v>0</v>
      </c>
      <c r="X44"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44" s="69">
        <f t="shared" si="1"/>
        <v>0</v>
      </c>
      <c r="Z44" s="66"/>
    </row>
    <row r="45" spans="1:26" ht="21" customHeight="1" x14ac:dyDescent="0.45">
      <c r="A45">
        <f>_xlfn.XLOOKUP(43,OfficialTeamList[Row],OfficialTeamList[Team Number],"ERROR",0)</f>
        <v>0</v>
      </c>
      <c r="B45" s="62" t="str">
        <f>_xlfn.XLOOKUP(TournamentData[[#This Row],[Team Number]],OfficialTeamList[Team Number],OfficialTeamList[Team Name],"",0,)</f>
        <v/>
      </c>
      <c r="C45" s="63">
        <f>IF(TournamentData[[#This Row],[Team Number]]="","",_xlfn.XLOOKUP(TournamentData[[#This Row],[Team Number]],RobotGameScores[Team Number],RobotGameScores[Robot Game 1 Score],0,0,))</f>
        <v>0</v>
      </c>
      <c r="D45" s="63">
        <f>IF(TournamentData[[#This Row],[Team Number]]="","",_xlfn.XLOOKUP(TournamentData[[#This Row],[Team Number]],RobotGameScores[Team Number],RobotGameScores[Robot Game 2 Score],0,0,))</f>
        <v>0</v>
      </c>
      <c r="E45" s="63">
        <f>IF(TournamentData[[#This Row],[Team Number]]="","",_xlfn.XLOOKUP(TournamentData[[#This Row],[Team Number]],RobotGameScores[Team Number],RobotGameScores[Robot Game 3 Score],0,0,))</f>
        <v>0</v>
      </c>
      <c r="F45" s="63">
        <f>IF(TournamentData[[#This Row],[Team Number]]="","",_xlfn.XLOOKUP(TournamentData[[#This Row],[Team Number]],RobotGameScores[Team Number],RobotGameScores[Robot Game 4 Score],0,0,))</f>
        <v>0</v>
      </c>
      <c r="G45" s="63">
        <f>IF(TournamentData[[#This Row],[Team Number]]="","",_xlfn.XLOOKUP(TournamentData[[#This Row],[Team Number]],RobotGameScores[Team Number],RobotGameScores[Robot Game 5 Score],0,0,))</f>
        <v>0</v>
      </c>
      <c r="H45"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45" s="63">
        <f>IF(TournamentData[[#This Row],[Team Number]]="","",_xlfn.RANK.EQ(TournamentData[[#This Row],[Max Robot Game Score]],TournamentData[Max Robot Game Score]))</f>
        <v>1</v>
      </c>
      <c r="J45" s="63">
        <f>IF(TournamentData[[#This Row],[Team Number]]="","",_xlfn.XLOOKUP(TournamentData[[#This Row],[Team Number]],CoreValuesResults[Team Number],CoreValuesResults[Core Values Rank],NumberOfTeams+1,0,))</f>
        <v>1</v>
      </c>
      <c r="K45" s="63">
        <f>IF(TournamentData[[#This Row],[Team Number]]="","",_xlfn.XLOOKUP(TournamentData[[#This Row],[Team Number]],InnovationProjectResults[Team Number],InnovationProjectResults[Innovation Project Rank],NumberOfTeams+1,0,))</f>
        <v>1</v>
      </c>
      <c r="L45" s="63">
        <f>IF(TournamentData[[#This Row],[Team Number]]="","",_xlfn.XLOOKUP(TournamentData[[#This Row],[Team Number]],RobotDesignResults[Team Number],RobotDesignResults[Robot Design Rank],NumberOfTeams+1,0,))</f>
        <v>1</v>
      </c>
      <c r="M45"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45" s="64">
        <f>IF(TournamentData[[#This Row],[Team Number]]="","",IF(M45,RANK(M45,M$3:M$202,1)-COUNTIF(M$3:M$202,0),NumberOfTeams+1))</f>
        <v>1</v>
      </c>
      <c r="O45" s="65">
        <f>_xlfn.XLOOKUP(TournamentData[[#This Row],[Team Number]],CoreValuesResults[Team Number],CoreValuesResults[Breakthrough Selection],0,0,)</f>
        <v>0</v>
      </c>
      <c r="P45" s="65">
        <f>_xlfn.XLOOKUP(TournamentData[[#This Row],[Team Number]],CoreValuesResults[Team Number],CoreValuesResults[Rising All-Star Selection],0,0,)</f>
        <v>0</v>
      </c>
      <c r="Q45" s="65">
        <f>_xlfn.XLOOKUP(TournamentData[[#This Row],[Team Number]],CoreValuesResults[Team Number],CoreValuesResults[Motivate Selection],0,0,)</f>
        <v>0</v>
      </c>
      <c r="R45" s="66"/>
      <c r="S45" s="66"/>
      <c r="T45" s="67"/>
      <c r="U45" s="63">
        <f>_xlfn.XLOOKUP(TournamentData[[#This Row],[Team Number]],CoreValuesResults[Team Number],CoreValuesResults[Core Values Score],0,0,)</f>
        <v>0</v>
      </c>
      <c r="V45" s="63">
        <f>_xlfn.XLOOKUP(TournamentData[[#This Row],[Team Number]],InnovationProjectResults[Team Number],InnovationProjectResults[Innovation Project Score],0,0,)</f>
        <v>0</v>
      </c>
      <c r="W45" s="63">
        <f>_xlfn.XLOOKUP(TournamentData[[#This Row],[Team Number]],RobotDesignResults[Team Number],RobotDesignResults[Robot Design Score],0,0,)</f>
        <v>0</v>
      </c>
      <c r="X45"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45" s="69">
        <f t="shared" si="1"/>
        <v>0</v>
      </c>
      <c r="Z45" s="66"/>
    </row>
    <row r="46" spans="1:26" ht="21" customHeight="1" x14ac:dyDescent="0.45">
      <c r="A46">
        <f>_xlfn.XLOOKUP(44,OfficialTeamList[Row],OfficialTeamList[Team Number],"ERROR",0)</f>
        <v>0</v>
      </c>
      <c r="B46" s="62" t="str">
        <f>_xlfn.XLOOKUP(TournamentData[[#This Row],[Team Number]],OfficialTeamList[Team Number],OfficialTeamList[Team Name],"",0,)</f>
        <v/>
      </c>
      <c r="C46" s="63">
        <f>IF(TournamentData[[#This Row],[Team Number]]="","",_xlfn.XLOOKUP(TournamentData[[#This Row],[Team Number]],RobotGameScores[Team Number],RobotGameScores[Robot Game 1 Score],0,0,))</f>
        <v>0</v>
      </c>
      <c r="D46" s="63">
        <f>IF(TournamentData[[#This Row],[Team Number]]="","",_xlfn.XLOOKUP(TournamentData[[#This Row],[Team Number]],RobotGameScores[Team Number],RobotGameScores[Robot Game 2 Score],0,0,))</f>
        <v>0</v>
      </c>
      <c r="E46" s="63">
        <f>IF(TournamentData[[#This Row],[Team Number]]="","",_xlfn.XLOOKUP(TournamentData[[#This Row],[Team Number]],RobotGameScores[Team Number],RobotGameScores[Robot Game 3 Score],0,0,))</f>
        <v>0</v>
      </c>
      <c r="F46" s="63">
        <f>IF(TournamentData[[#This Row],[Team Number]]="","",_xlfn.XLOOKUP(TournamentData[[#This Row],[Team Number]],RobotGameScores[Team Number],RobotGameScores[Robot Game 4 Score],0,0,))</f>
        <v>0</v>
      </c>
      <c r="G46" s="63">
        <f>IF(TournamentData[[#This Row],[Team Number]]="","",_xlfn.XLOOKUP(TournamentData[[#This Row],[Team Number]],RobotGameScores[Team Number],RobotGameScores[Robot Game 5 Score],0,0,))</f>
        <v>0</v>
      </c>
      <c r="H46"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46" s="63">
        <f>IF(TournamentData[[#This Row],[Team Number]]="","",_xlfn.RANK.EQ(TournamentData[[#This Row],[Max Robot Game Score]],TournamentData[Max Robot Game Score]))</f>
        <v>1</v>
      </c>
      <c r="J46" s="63">
        <f>IF(TournamentData[[#This Row],[Team Number]]="","",_xlfn.XLOOKUP(TournamentData[[#This Row],[Team Number]],CoreValuesResults[Team Number],CoreValuesResults[Core Values Rank],NumberOfTeams+1,0,))</f>
        <v>1</v>
      </c>
      <c r="K46" s="63">
        <f>IF(TournamentData[[#This Row],[Team Number]]="","",_xlfn.XLOOKUP(TournamentData[[#This Row],[Team Number]],InnovationProjectResults[Team Number],InnovationProjectResults[Innovation Project Rank],NumberOfTeams+1,0,))</f>
        <v>1</v>
      </c>
      <c r="L46" s="63">
        <f>IF(TournamentData[[#This Row],[Team Number]]="","",_xlfn.XLOOKUP(TournamentData[[#This Row],[Team Number]],RobotDesignResults[Team Number],RobotDesignResults[Robot Design Rank],NumberOfTeams+1,0,))</f>
        <v>1</v>
      </c>
      <c r="M46"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46" s="64">
        <f>IF(TournamentData[[#This Row],[Team Number]]="","",IF(M46,RANK(M46,M$3:M$202,1)-COUNTIF(M$3:M$202,0),NumberOfTeams+1))</f>
        <v>1</v>
      </c>
      <c r="O46" s="70">
        <f>_xlfn.XLOOKUP(TournamentData[[#This Row],[Team Number]],CoreValuesResults[Team Number],CoreValuesResults[Breakthrough Selection],0,0,)</f>
        <v>0</v>
      </c>
      <c r="P46" s="70">
        <f>_xlfn.XLOOKUP(TournamentData[[#This Row],[Team Number]],CoreValuesResults[Team Number],CoreValuesResults[Rising All-Star Selection],0,0,)</f>
        <v>0</v>
      </c>
      <c r="Q46" s="70">
        <f>_xlfn.XLOOKUP(TournamentData[[#This Row],[Team Number]],CoreValuesResults[Team Number],CoreValuesResults[Motivate Selection],0,0,)</f>
        <v>0</v>
      </c>
      <c r="R46" s="66"/>
      <c r="S46" s="66"/>
      <c r="T46" s="67"/>
      <c r="U46" s="63">
        <f>_xlfn.XLOOKUP(TournamentData[[#This Row],[Team Number]],CoreValuesResults[Team Number],CoreValuesResults[Core Values Score],0,0,)</f>
        <v>0</v>
      </c>
      <c r="V46" s="63">
        <f>_xlfn.XLOOKUP(TournamentData[[#This Row],[Team Number]],InnovationProjectResults[Team Number],InnovationProjectResults[Innovation Project Score],0,0,)</f>
        <v>0</v>
      </c>
      <c r="W46" s="63">
        <f>_xlfn.XLOOKUP(TournamentData[[#This Row],[Team Number]],RobotDesignResults[Team Number],RobotDesignResults[Robot Design Score],0,0,)</f>
        <v>0</v>
      </c>
      <c r="X46"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46" s="69">
        <f t="shared" si="1"/>
        <v>0</v>
      </c>
      <c r="Z46" s="66"/>
    </row>
    <row r="47" spans="1:26" ht="21" customHeight="1" x14ac:dyDescent="0.45">
      <c r="A47">
        <f>_xlfn.XLOOKUP(45,OfficialTeamList[Row],OfficialTeamList[Team Number],"ERROR",0)</f>
        <v>0</v>
      </c>
      <c r="B47" s="62" t="str">
        <f>_xlfn.XLOOKUP(TournamentData[[#This Row],[Team Number]],OfficialTeamList[Team Number],OfficialTeamList[Team Name],"",0,)</f>
        <v/>
      </c>
      <c r="C47" s="63">
        <f>IF(TournamentData[[#This Row],[Team Number]]="","",_xlfn.XLOOKUP(TournamentData[[#This Row],[Team Number]],RobotGameScores[Team Number],RobotGameScores[Robot Game 1 Score],0,0,))</f>
        <v>0</v>
      </c>
      <c r="D47" s="63">
        <f>IF(TournamentData[[#This Row],[Team Number]]="","",_xlfn.XLOOKUP(TournamentData[[#This Row],[Team Number]],RobotGameScores[Team Number],RobotGameScores[Robot Game 2 Score],0,0,))</f>
        <v>0</v>
      </c>
      <c r="E47" s="63">
        <f>IF(TournamentData[[#This Row],[Team Number]]="","",_xlfn.XLOOKUP(TournamentData[[#This Row],[Team Number]],RobotGameScores[Team Number],RobotGameScores[Robot Game 3 Score],0,0,))</f>
        <v>0</v>
      </c>
      <c r="F47" s="63">
        <f>IF(TournamentData[[#This Row],[Team Number]]="","",_xlfn.XLOOKUP(TournamentData[[#This Row],[Team Number]],RobotGameScores[Team Number],RobotGameScores[Robot Game 4 Score],0,0,))</f>
        <v>0</v>
      </c>
      <c r="G47" s="63">
        <f>IF(TournamentData[[#This Row],[Team Number]]="","",_xlfn.XLOOKUP(TournamentData[[#This Row],[Team Number]],RobotGameScores[Team Number],RobotGameScores[Robot Game 5 Score],0,0,))</f>
        <v>0</v>
      </c>
      <c r="H47"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47" s="63">
        <f>IF(TournamentData[[#This Row],[Team Number]]="","",_xlfn.RANK.EQ(TournamentData[[#This Row],[Max Robot Game Score]],TournamentData[Max Robot Game Score]))</f>
        <v>1</v>
      </c>
      <c r="J47" s="63">
        <f>IF(TournamentData[[#This Row],[Team Number]]="","",_xlfn.XLOOKUP(TournamentData[[#This Row],[Team Number]],CoreValuesResults[Team Number],CoreValuesResults[Core Values Rank],NumberOfTeams+1,0,))</f>
        <v>1</v>
      </c>
      <c r="K47" s="63">
        <f>IF(TournamentData[[#This Row],[Team Number]]="","",_xlfn.XLOOKUP(TournamentData[[#This Row],[Team Number]],InnovationProjectResults[Team Number],InnovationProjectResults[Innovation Project Rank],NumberOfTeams+1,0,))</f>
        <v>1</v>
      </c>
      <c r="L47" s="63">
        <f>IF(TournamentData[[#This Row],[Team Number]]="","",_xlfn.XLOOKUP(TournamentData[[#This Row],[Team Number]],RobotDesignResults[Team Number],RobotDesignResults[Robot Design Rank],NumberOfTeams+1,0,))</f>
        <v>1</v>
      </c>
      <c r="M47"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47" s="64">
        <f>IF(TournamentData[[#This Row],[Team Number]]="","",IF(M47,RANK(M47,M$3:M$202,1)-COUNTIF(M$3:M$202,0),NumberOfTeams+1))</f>
        <v>1</v>
      </c>
      <c r="O47" s="65">
        <f>_xlfn.XLOOKUP(TournamentData[[#This Row],[Team Number]],CoreValuesResults[Team Number],CoreValuesResults[Breakthrough Selection],0,0,)</f>
        <v>0</v>
      </c>
      <c r="P47" s="65">
        <f>_xlfn.XLOOKUP(TournamentData[[#This Row],[Team Number]],CoreValuesResults[Team Number],CoreValuesResults[Rising All-Star Selection],0,0,)</f>
        <v>0</v>
      </c>
      <c r="Q47" s="65">
        <f>_xlfn.XLOOKUP(TournamentData[[#This Row],[Team Number]],CoreValuesResults[Team Number],CoreValuesResults[Motivate Selection],0,0,)</f>
        <v>0</v>
      </c>
      <c r="R47" s="66"/>
      <c r="S47" s="66"/>
      <c r="T47" s="67"/>
      <c r="U47" s="63">
        <f>_xlfn.XLOOKUP(TournamentData[[#This Row],[Team Number]],CoreValuesResults[Team Number],CoreValuesResults[Core Values Score],0,0,)</f>
        <v>0</v>
      </c>
      <c r="V47" s="63">
        <f>_xlfn.XLOOKUP(TournamentData[[#This Row],[Team Number]],InnovationProjectResults[Team Number],InnovationProjectResults[Innovation Project Score],0,0,)</f>
        <v>0</v>
      </c>
      <c r="W47" s="63">
        <f>_xlfn.XLOOKUP(TournamentData[[#This Row],[Team Number]],RobotDesignResults[Team Number],RobotDesignResults[Robot Design Score],0,0,)</f>
        <v>0</v>
      </c>
      <c r="X47"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47" s="69">
        <f t="shared" si="1"/>
        <v>0</v>
      </c>
      <c r="Z47" s="66"/>
    </row>
    <row r="48" spans="1:26" ht="21" customHeight="1" x14ac:dyDescent="0.45">
      <c r="A48">
        <f>_xlfn.XLOOKUP(46,OfficialTeamList[Row],OfficialTeamList[Team Number],"ERROR",0)</f>
        <v>0</v>
      </c>
      <c r="B48" s="62" t="str">
        <f>_xlfn.XLOOKUP(TournamentData[[#This Row],[Team Number]],OfficialTeamList[Team Number],OfficialTeamList[Team Name],"",0,)</f>
        <v/>
      </c>
      <c r="C48" s="63">
        <f>IF(TournamentData[[#This Row],[Team Number]]="","",_xlfn.XLOOKUP(TournamentData[[#This Row],[Team Number]],RobotGameScores[Team Number],RobotGameScores[Robot Game 1 Score],0,0,))</f>
        <v>0</v>
      </c>
      <c r="D48" s="63">
        <f>IF(TournamentData[[#This Row],[Team Number]]="","",_xlfn.XLOOKUP(TournamentData[[#This Row],[Team Number]],RobotGameScores[Team Number],RobotGameScores[Robot Game 2 Score],0,0,))</f>
        <v>0</v>
      </c>
      <c r="E48" s="63">
        <f>IF(TournamentData[[#This Row],[Team Number]]="","",_xlfn.XLOOKUP(TournamentData[[#This Row],[Team Number]],RobotGameScores[Team Number],RobotGameScores[Robot Game 3 Score],0,0,))</f>
        <v>0</v>
      </c>
      <c r="F48" s="63">
        <f>IF(TournamentData[[#This Row],[Team Number]]="","",_xlfn.XLOOKUP(TournamentData[[#This Row],[Team Number]],RobotGameScores[Team Number],RobotGameScores[Robot Game 4 Score],0,0,))</f>
        <v>0</v>
      </c>
      <c r="G48" s="63">
        <f>IF(TournamentData[[#This Row],[Team Number]]="","",_xlfn.XLOOKUP(TournamentData[[#This Row],[Team Number]],RobotGameScores[Team Number],RobotGameScores[Robot Game 5 Score],0,0,))</f>
        <v>0</v>
      </c>
      <c r="H48"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48" s="63">
        <f>IF(TournamentData[[#This Row],[Team Number]]="","",_xlfn.RANK.EQ(TournamentData[[#This Row],[Max Robot Game Score]],TournamentData[Max Robot Game Score]))</f>
        <v>1</v>
      </c>
      <c r="J48" s="63">
        <f>IF(TournamentData[[#This Row],[Team Number]]="","",_xlfn.XLOOKUP(TournamentData[[#This Row],[Team Number]],CoreValuesResults[Team Number],CoreValuesResults[Core Values Rank],NumberOfTeams+1,0,))</f>
        <v>1</v>
      </c>
      <c r="K48" s="63">
        <f>IF(TournamentData[[#This Row],[Team Number]]="","",_xlfn.XLOOKUP(TournamentData[[#This Row],[Team Number]],InnovationProjectResults[Team Number],InnovationProjectResults[Innovation Project Rank],NumberOfTeams+1,0,))</f>
        <v>1</v>
      </c>
      <c r="L48" s="63">
        <f>IF(TournamentData[[#This Row],[Team Number]]="","",_xlfn.XLOOKUP(TournamentData[[#This Row],[Team Number]],RobotDesignResults[Team Number],RobotDesignResults[Robot Design Rank],NumberOfTeams+1,0,))</f>
        <v>1</v>
      </c>
      <c r="M48"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48" s="64">
        <f>IF(TournamentData[[#This Row],[Team Number]]="","",IF(M48,RANK(M48,M$3:M$202,1)-COUNTIF(M$3:M$202,0),NumberOfTeams+1))</f>
        <v>1</v>
      </c>
      <c r="O48" s="65">
        <f>_xlfn.XLOOKUP(TournamentData[[#This Row],[Team Number]],CoreValuesResults[Team Number],CoreValuesResults[Breakthrough Selection],0,0,)</f>
        <v>0</v>
      </c>
      <c r="P48" s="65">
        <f>_xlfn.XLOOKUP(TournamentData[[#This Row],[Team Number]],CoreValuesResults[Team Number],CoreValuesResults[Rising All-Star Selection],0,0,)</f>
        <v>0</v>
      </c>
      <c r="Q48" s="65">
        <f>_xlfn.XLOOKUP(TournamentData[[#This Row],[Team Number]],CoreValuesResults[Team Number],CoreValuesResults[Motivate Selection],0,0,)</f>
        <v>0</v>
      </c>
      <c r="R48" s="66"/>
      <c r="S48" s="66"/>
      <c r="T48" s="67"/>
      <c r="U48" s="63">
        <f>_xlfn.XLOOKUP(TournamentData[[#This Row],[Team Number]],CoreValuesResults[Team Number],CoreValuesResults[Core Values Score],0,0,)</f>
        <v>0</v>
      </c>
      <c r="V48" s="63">
        <f>_xlfn.XLOOKUP(TournamentData[[#This Row],[Team Number]],InnovationProjectResults[Team Number],InnovationProjectResults[Innovation Project Score],0,0,)</f>
        <v>0</v>
      </c>
      <c r="W48" s="63">
        <f>_xlfn.XLOOKUP(TournamentData[[#This Row],[Team Number]],RobotDesignResults[Team Number],RobotDesignResults[Robot Design Score],0,0,)</f>
        <v>0</v>
      </c>
      <c r="X48"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48" s="69">
        <f t="shared" si="1"/>
        <v>0</v>
      </c>
      <c r="Z48" s="66"/>
    </row>
    <row r="49" spans="1:26" ht="21" customHeight="1" x14ac:dyDescent="0.45">
      <c r="A49">
        <f>_xlfn.XLOOKUP(47,OfficialTeamList[Row],OfficialTeamList[Team Number],"ERROR",0)</f>
        <v>0</v>
      </c>
      <c r="B49" s="62" t="str">
        <f>_xlfn.XLOOKUP(TournamentData[[#This Row],[Team Number]],OfficialTeamList[Team Number],OfficialTeamList[Team Name],"",0,)</f>
        <v/>
      </c>
      <c r="C49" s="63">
        <f>IF(TournamentData[[#This Row],[Team Number]]="","",_xlfn.XLOOKUP(TournamentData[[#This Row],[Team Number]],RobotGameScores[Team Number],RobotGameScores[Robot Game 1 Score],0,0,))</f>
        <v>0</v>
      </c>
      <c r="D49" s="63">
        <f>IF(TournamentData[[#This Row],[Team Number]]="","",_xlfn.XLOOKUP(TournamentData[[#This Row],[Team Number]],RobotGameScores[Team Number],RobotGameScores[Robot Game 2 Score],0,0,))</f>
        <v>0</v>
      </c>
      <c r="E49" s="63">
        <f>IF(TournamentData[[#This Row],[Team Number]]="","",_xlfn.XLOOKUP(TournamentData[[#This Row],[Team Number]],RobotGameScores[Team Number],RobotGameScores[Robot Game 3 Score],0,0,))</f>
        <v>0</v>
      </c>
      <c r="F49" s="63">
        <f>IF(TournamentData[[#This Row],[Team Number]]="","",_xlfn.XLOOKUP(TournamentData[[#This Row],[Team Number]],RobotGameScores[Team Number],RobotGameScores[Robot Game 4 Score],0,0,))</f>
        <v>0</v>
      </c>
      <c r="G49" s="63">
        <f>IF(TournamentData[[#This Row],[Team Number]]="","",_xlfn.XLOOKUP(TournamentData[[#This Row],[Team Number]],RobotGameScores[Team Number],RobotGameScores[Robot Game 5 Score],0,0,))</f>
        <v>0</v>
      </c>
      <c r="H49"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49" s="63">
        <f>IF(TournamentData[[#This Row],[Team Number]]="","",_xlfn.RANK.EQ(TournamentData[[#This Row],[Max Robot Game Score]],TournamentData[Max Robot Game Score]))</f>
        <v>1</v>
      </c>
      <c r="J49" s="63">
        <f>IF(TournamentData[[#This Row],[Team Number]]="","",_xlfn.XLOOKUP(TournamentData[[#This Row],[Team Number]],CoreValuesResults[Team Number],CoreValuesResults[Core Values Rank],NumberOfTeams+1,0,))</f>
        <v>1</v>
      </c>
      <c r="K49" s="63">
        <f>IF(TournamentData[[#This Row],[Team Number]]="","",_xlfn.XLOOKUP(TournamentData[[#This Row],[Team Number]],InnovationProjectResults[Team Number],InnovationProjectResults[Innovation Project Rank],NumberOfTeams+1,0,))</f>
        <v>1</v>
      </c>
      <c r="L49" s="63">
        <f>IF(TournamentData[[#This Row],[Team Number]]="","",_xlfn.XLOOKUP(TournamentData[[#This Row],[Team Number]],RobotDesignResults[Team Number],RobotDesignResults[Robot Design Rank],NumberOfTeams+1,0,))</f>
        <v>1</v>
      </c>
      <c r="M49"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49" s="64">
        <f>IF(TournamentData[[#This Row],[Team Number]]="","",IF(M49,RANK(M49,M$3:M$202,1)-COUNTIF(M$3:M$202,0),NumberOfTeams+1))</f>
        <v>1</v>
      </c>
      <c r="O49" s="70">
        <f>_xlfn.XLOOKUP(TournamentData[[#This Row],[Team Number]],CoreValuesResults[Team Number],CoreValuesResults[Breakthrough Selection],0,0,)</f>
        <v>0</v>
      </c>
      <c r="P49" s="70">
        <f>_xlfn.XLOOKUP(TournamentData[[#This Row],[Team Number]],CoreValuesResults[Team Number],CoreValuesResults[Rising All-Star Selection],0,0,)</f>
        <v>0</v>
      </c>
      <c r="Q49" s="70">
        <f>_xlfn.XLOOKUP(TournamentData[[#This Row],[Team Number]],CoreValuesResults[Team Number],CoreValuesResults[Motivate Selection],0,0,)</f>
        <v>0</v>
      </c>
      <c r="R49" s="66"/>
      <c r="S49" s="66"/>
      <c r="T49" s="67"/>
      <c r="U49" s="63">
        <f>_xlfn.XLOOKUP(TournamentData[[#This Row],[Team Number]],CoreValuesResults[Team Number],CoreValuesResults[Core Values Score],0,0,)</f>
        <v>0</v>
      </c>
      <c r="V49" s="63">
        <f>_xlfn.XLOOKUP(TournamentData[[#This Row],[Team Number]],InnovationProjectResults[Team Number],InnovationProjectResults[Innovation Project Score],0,0,)</f>
        <v>0</v>
      </c>
      <c r="W49" s="63">
        <f>_xlfn.XLOOKUP(TournamentData[[#This Row],[Team Number]],RobotDesignResults[Team Number],RobotDesignResults[Robot Design Score],0,0,)</f>
        <v>0</v>
      </c>
      <c r="X49"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49" s="69">
        <f t="shared" si="1"/>
        <v>0</v>
      </c>
      <c r="Z49" s="66"/>
    </row>
    <row r="50" spans="1:26" ht="21" customHeight="1" x14ac:dyDescent="0.45">
      <c r="A50">
        <f>_xlfn.XLOOKUP(48,OfficialTeamList[Row],OfficialTeamList[Team Number],"ERROR",0)</f>
        <v>0</v>
      </c>
      <c r="B50" s="62" t="str">
        <f>_xlfn.XLOOKUP(TournamentData[[#This Row],[Team Number]],OfficialTeamList[Team Number],OfficialTeamList[Team Name],"",0,)</f>
        <v/>
      </c>
      <c r="C50" s="63">
        <f>IF(TournamentData[[#This Row],[Team Number]]="","",_xlfn.XLOOKUP(TournamentData[[#This Row],[Team Number]],RobotGameScores[Team Number],RobotGameScores[Robot Game 1 Score],0,0,))</f>
        <v>0</v>
      </c>
      <c r="D50" s="63">
        <f>IF(TournamentData[[#This Row],[Team Number]]="","",_xlfn.XLOOKUP(TournamentData[[#This Row],[Team Number]],RobotGameScores[Team Number],RobotGameScores[Robot Game 2 Score],0,0,))</f>
        <v>0</v>
      </c>
      <c r="E50" s="63">
        <f>IF(TournamentData[[#This Row],[Team Number]]="","",_xlfn.XLOOKUP(TournamentData[[#This Row],[Team Number]],RobotGameScores[Team Number],RobotGameScores[Robot Game 3 Score],0,0,))</f>
        <v>0</v>
      </c>
      <c r="F50" s="63">
        <f>IF(TournamentData[[#This Row],[Team Number]]="","",_xlfn.XLOOKUP(TournamentData[[#This Row],[Team Number]],RobotGameScores[Team Number],RobotGameScores[Robot Game 4 Score],0,0,))</f>
        <v>0</v>
      </c>
      <c r="G50" s="63">
        <f>IF(TournamentData[[#This Row],[Team Number]]="","",_xlfn.XLOOKUP(TournamentData[[#This Row],[Team Number]],RobotGameScores[Team Number],RobotGameScores[Robot Game 5 Score],0,0,))</f>
        <v>0</v>
      </c>
      <c r="H50"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50" s="63">
        <f>IF(TournamentData[[#This Row],[Team Number]]="","",_xlfn.RANK.EQ(TournamentData[[#This Row],[Max Robot Game Score]],TournamentData[Max Robot Game Score]))</f>
        <v>1</v>
      </c>
      <c r="J50" s="63">
        <f>IF(TournamentData[[#This Row],[Team Number]]="","",_xlfn.XLOOKUP(TournamentData[[#This Row],[Team Number]],CoreValuesResults[Team Number],CoreValuesResults[Core Values Rank],NumberOfTeams+1,0,))</f>
        <v>1</v>
      </c>
      <c r="K50" s="63">
        <f>IF(TournamentData[[#This Row],[Team Number]]="","",_xlfn.XLOOKUP(TournamentData[[#This Row],[Team Number]],InnovationProjectResults[Team Number],InnovationProjectResults[Innovation Project Rank],NumberOfTeams+1,0,))</f>
        <v>1</v>
      </c>
      <c r="L50" s="63">
        <f>IF(TournamentData[[#This Row],[Team Number]]="","",_xlfn.XLOOKUP(TournamentData[[#This Row],[Team Number]],RobotDesignResults[Team Number],RobotDesignResults[Robot Design Rank],NumberOfTeams+1,0,))</f>
        <v>1</v>
      </c>
      <c r="M50"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50" s="64">
        <f>IF(TournamentData[[#This Row],[Team Number]]="","",IF(M50,RANK(M50,M$3:M$202,1)-COUNTIF(M$3:M$202,0),NumberOfTeams+1))</f>
        <v>1</v>
      </c>
      <c r="O50" s="65">
        <f>_xlfn.XLOOKUP(TournamentData[[#This Row],[Team Number]],CoreValuesResults[Team Number],CoreValuesResults[Breakthrough Selection],0,0,)</f>
        <v>0</v>
      </c>
      <c r="P50" s="65">
        <f>_xlfn.XLOOKUP(TournamentData[[#This Row],[Team Number]],CoreValuesResults[Team Number],CoreValuesResults[Rising All-Star Selection],0,0,)</f>
        <v>0</v>
      </c>
      <c r="Q50" s="65">
        <f>_xlfn.XLOOKUP(TournamentData[[#This Row],[Team Number]],CoreValuesResults[Team Number],CoreValuesResults[Motivate Selection],0,0,)</f>
        <v>0</v>
      </c>
      <c r="R50" s="66"/>
      <c r="S50" s="66"/>
      <c r="T50" s="67"/>
      <c r="U50" s="63">
        <f>_xlfn.XLOOKUP(TournamentData[[#This Row],[Team Number]],CoreValuesResults[Team Number],CoreValuesResults[Core Values Score],0,0,)</f>
        <v>0</v>
      </c>
      <c r="V50" s="63">
        <f>_xlfn.XLOOKUP(TournamentData[[#This Row],[Team Number]],InnovationProjectResults[Team Number],InnovationProjectResults[Innovation Project Score],0,0,)</f>
        <v>0</v>
      </c>
      <c r="W50" s="63">
        <f>_xlfn.XLOOKUP(TournamentData[[#This Row],[Team Number]],RobotDesignResults[Team Number],RobotDesignResults[Robot Design Score],0,0,)</f>
        <v>0</v>
      </c>
      <c r="X50"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50" s="69">
        <f t="shared" si="1"/>
        <v>0</v>
      </c>
      <c r="Z50" s="66"/>
    </row>
    <row r="51" spans="1:26" ht="21" customHeight="1" x14ac:dyDescent="0.45">
      <c r="A51">
        <f>_xlfn.XLOOKUP(49,OfficialTeamList[Row],OfficialTeamList[Team Number],"ERROR",0)</f>
        <v>0</v>
      </c>
      <c r="B51" s="62" t="str">
        <f>_xlfn.XLOOKUP(TournamentData[[#This Row],[Team Number]],OfficialTeamList[Team Number],OfficialTeamList[Team Name],"",0,)</f>
        <v/>
      </c>
      <c r="C51" s="63">
        <f>IF(TournamentData[[#This Row],[Team Number]]="","",_xlfn.XLOOKUP(TournamentData[[#This Row],[Team Number]],RobotGameScores[Team Number],RobotGameScores[Robot Game 1 Score],0,0,))</f>
        <v>0</v>
      </c>
      <c r="D51" s="63">
        <f>IF(TournamentData[[#This Row],[Team Number]]="","",_xlfn.XLOOKUP(TournamentData[[#This Row],[Team Number]],RobotGameScores[Team Number],RobotGameScores[Robot Game 2 Score],0,0,))</f>
        <v>0</v>
      </c>
      <c r="E51" s="63">
        <f>IF(TournamentData[[#This Row],[Team Number]]="","",_xlfn.XLOOKUP(TournamentData[[#This Row],[Team Number]],RobotGameScores[Team Number],RobotGameScores[Robot Game 3 Score],0,0,))</f>
        <v>0</v>
      </c>
      <c r="F51" s="63">
        <f>IF(TournamentData[[#This Row],[Team Number]]="","",_xlfn.XLOOKUP(TournamentData[[#This Row],[Team Number]],RobotGameScores[Team Number],RobotGameScores[Robot Game 4 Score],0,0,))</f>
        <v>0</v>
      </c>
      <c r="G51" s="63">
        <f>IF(TournamentData[[#This Row],[Team Number]]="","",_xlfn.XLOOKUP(TournamentData[[#This Row],[Team Number]],RobotGameScores[Team Number],RobotGameScores[Robot Game 5 Score],0,0,))</f>
        <v>0</v>
      </c>
      <c r="H51"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51" s="63">
        <f>IF(TournamentData[[#This Row],[Team Number]]="","",_xlfn.RANK.EQ(TournamentData[[#This Row],[Max Robot Game Score]],TournamentData[Max Robot Game Score]))</f>
        <v>1</v>
      </c>
      <c r="J51" s="63">
        <f>IF(TournamentData[[#This Row],[Team Number]]="","",_xlfn.XLOOKUP(TournamentData[[#This Row],[Team Number]],CoreValuesResults[Team Number],CoreValuesResults[Core Values Rank],NumberOfTeams+1,0,))</f>
        <v>1</v>
      </c>
      <c r="K51" s="63">
        <f>IF(TournamentData[[#This Row],[Team Number]]="","",_xlfn.XLOOKUP(TournamentData[[#This Row],[Team Number]],InnovationProjectResults[Team Number],InnovationProjectResults[Innovation Project Rank],NumberOfTeams+1,0,))</f>
        <v>1</v>
      </c>
      <c r="L51" s="63">
        <f>IF(TournamentData[[#This Row],[Team Number]]="","",_xlfn.XLOOKUP(TournamentData[[#This Row],[Team Number]],RobotDesignResults[Team Number],RobotDesignResults[Robot Design Rank],NumberOfTeams+1,0,))</f>
        <v>1</v>
      </c>
      <c r="M51"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51" s="64">
        <f>IF(TournamentData[[#This Row],[Team Number]]="","",IF(M51,RANK(M51,M$3:M$202,1)-COUNTIF(M$3:M$202,0),NumberOfTeams+1))</f>
        <v>1</v>
      </c>
      <c r="O51" s="65">
        <f>_xlfn.XLOOKUP(TournamentData[[#This Row],[Team Number]],CoreValuesResults[Team Number],CoreValuesResults[Breakthrough Selection],0,0,)</f>
        <v>0</v>
      </c>
      <c r="P51" s="65">
        <f>_xlfn.XLOOKUP(TournamentData[[#This Row],[Team Number]],CoreValuesResults[Team Number],CoreValuesResults[Rising All-Star Selection],0,0,)</f>
        <v>0</v>
      </c>
      <c r="Q51" s="65">
        <f>_xlfn.XLOOKUP(TournamentData[[#This Row],[Team Number]],CoreValuesResults[Team Number],CoreValuesResults[Motivate Selection],0,0,)</f>
        <v>0</v>
      </c>
      <c r="R51" s="66"/>
      <c r="S51" s="66"/>
      <c r="T51" s="67"/>
      <c r="U51" s="63">
        <f>_xlfn.XLOOKUP(TournamentData[[#This Row],[Team Number]],CoreValuesResults[Team Number],CoreValuesResults[Core Values Score],0,0,)</f>
        <v>0</v>
      </c>
      <c r="V51" s="63">
        <f>_xlfn.XLOOKUP(TournamentData[[#This Row],[Team Number]],InnovationProjectResults[Team Number],InnovationProjectResults[Innovation Project Score],0,0,)</f>
        <v>0</v>
      </c>
      <c r="W51" s="63">
        <f>_xlfn.XLOOKUP(TournamentData[[#This Row],[Team Number]],RobotDesignResults[Team Number],RobotDesignResults[Robot Design Score],0,0,)</f>
        <v>0</v>
      </c>
      <c r="X51"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51" s="69">
        <f t="shared" si="1"/>
        <v>0</v>
      </c>
      <c r="Z51" s="66"/>
    </row>
    <row r="52" spans="1:26" ht="21" customHeight="1" x14ac:dyDescent="0.45">
      <c r="A52">
        <f>_xlfn.XLOOKUP(50,OfficialTeamList[Row],OfficialTeamList[Team Number],"ERROR",0)</f>
        <v>0</v>
      </c>
      <c r="B52" s="62" t="str">
        <f>_xlfn.XLOOKUP(TournamentData[[#This Row],[Team Number]],OfficialTeamList[Team Number],OfficialTeamList[Team Name],"",0,)</f>
        <v/>
      </c>
      <c r="C52" s="63">
        <f>IF(TournamentData[[#This Row],[Team Number]]="","",_xlfn.XLOOKUP(TournamentData[[#This Row],[Team Number]],RobotGameScores[Team Number],RobotGameScores[Robot Game 1 Score],0,0,))</f>
        <v>0</v>
      </c>
      <c r="D52" s="63">
        <f>IF(TournamentData[[#This Row],[Team Number]]="","",_xlfn.XLOOKUP(TournamentData[[#This Row],[Team Number]],RobotGameScores[Team Number],RobotGameScores[Robot Game 2 Score],0,0,))</f>
        <v>0</v>
      </c>
      <c r="E52" s="63">
        <f>IF(TournamentData[[#This Row],[Team Number]]="","",_xlfn.XLOOKUP(TournamentData[[#This Row],[Team Number]],RobotGameScores[Team Number],RobotGameScores[Robot Game 3 Score],0,0,))</f>
        <v>0</v>
      </c>
      <c r="F52" s="63">
        <f>IF(TournamentData[[#This Row],[Team Number]]="","",_xlfn.XLOOKUP(TournamentData[[#This Row],[Team Number]],RobotGameScores[Team Number],RobotGameScores[Robot Game 4 Score],0,0,))</f>
        <v>0</v>
      </c>
      <c r="G52" s="63">
        <f>IF(TournamentData[[#This Row],[Team Number]]="","",_xlfn.XLOOKUP(TournamentData[[#This Row],[Team Number]],RobotGameScores[Team Number],RobotGameScores[Robot Game 5 Score],0,0,))</f>
        <v>0</v>
      </c>
      <c r="H52"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52" s="63">
        <f>IF(TournamentData[[#This Row],[Team Number]]="","",_xlfn.RANK.EQ(TournamentData[[#This Row],[Max Robot Game Score]],TournamentData[Max Robot Game Score]))</f>
        <v>1</v>
      </c>
      <c r="J52" s="63">
        <f>IF(TournamentData[[#This Row],[Team Number]]="","",_xlfn.XLOOKUP(TournamentData[[#This Row],[Team Number]],CoreValuesResults[Team Number],CoreValuesResults[Core Values Rank],NumberOfTeams+1,0,))</f>
        <v>1</v>
      </c>
      <c r="K52" s="63">
        <f>IF(TournamentData[[#This Row],[Team Number]]="","",_xlfn.XLOOKUP(TournamentData[[#This Row],[Team Number]],InnovationProjectResults[Team Number],InnovationProjectResults[Innovation Project Rank],NumberOfTeams+1,0,))</f>
        <v>1</v>
      </c>
      <c r="L52" s="63">
        <f>IF(TournamentData[[#This Row],[Team Number]]="","",_xlfn.XLOOKUP(TournamentData[[#This Row],[Team Number]],RobotDesignResults[Team Number],RobotDesignResults[Robot Design Rank],NumberOfTeams+1,0,))</f>
        <v>1</v>
      </c>
      <c r="M52"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52" s="64">
        <f>IF(TournamentData[[#This Row],[Team Number]]="","",IF(M52,RANK(M52,M$3:M$202,1)-COUNTIF(M$3:M$202,0),NumberOfTeams+1))</f>
        <v>1</v>
      </c>
      <c r="O52" s="70">
        <f>_xlfn.XLOOKUP(TournamentData[[#This Row],[Team Number]],CoreValuesResults[Team Number],CoreValuesResults[Breakthrough Selection],0,0,)</f>
        <v>0</v>
      </c>
      <c r="P52" s="70">
        <f>_xlfn.XLOOKUP(TournamentData[[#This Row],[Team Number]],CoreValuesResults[Team Number],CoreValuesResults[Rising All-Star Selection],0,0,)</f>
        <v>0</v>
      </c>
      <c r="Q52" s="70">
        <f>_xlfn.XLOOKUP(TournamentData[[#This Row],[Team Number]],CoreValuesResults[Team Number],CoreValuesResults[Motivate Selection],0,0,)</f>
        <v>0</v>
      </c>
      <c r="R52" s="66"/>
      <c r="S52" s="66"/>
      <c r="T52" s="67"/>
      <c r="U52" s="63">
        <f>_xlfn.XLOOKUP(TournamentData[[#This Row],[Team Number]],CoreValuesResults[Team Number],CoreValuesResults[Core Values Score],0,0,)</f>
        <v>0</v>
      </c>
      <c r="V52" s="63">
        <f>_xlfn.XLOOKUP(TournamentData[[#This Row],[Team Number]],InnovationProjectResults[Team Number],InnovationProjectResults[Innovation Project Score],0,0,)</f>
        <v>0</v>
      </c>
      <c r="W52" s="63">
        <f>_xlfn.XLOOKUP(TournamentData[[#This Row],[Team Number]],RobotDesignResults[Team Number],RobotDesignResults[Robot Design Score],0,0,)</f>
        <v>0</v>
      </c>
      <c r="X52"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52" s="69">
        <f t="shared" si="1"/>
        <v>0</v>
      </c>
      <c r="Z52" s="66"/>
    </row>
    <row r="53" spans="1:26" ht="21" customHeight="1" x14ac:dyDescent="0.45">
      <c r="A53">
        <f>_xlfn.XLOOKUP(51,OfficialTeamList[Row],OfficialTeamList[Team Number],"ERROR",0)</f>
        <v>0</v>
      </c>
      <c r="B53" s="62" t="str">
        <f>_xlfn.XLOOKUP(TournamentData[[#This Row],[Team Number]],OfficialTeamList[Team Number],OfficialTeamList[Team Name],"",0,)</f>
        <v/>
      </c>
      <c r="C53" s="63">
        <f>IF(TournamentData[[#This Row],[Team Number]]="","",_xlfn.XLOOKUP(TournamentData[[#This Row],[Team Number]],RobotGameScores[Team Number],RobotGameScores[Robot Game 1 Score],0,0,))</f>
        <v>0</v>
      </c>
      <c r="D53" s="63">
        <f>IF(TournamentData[[#This Row],[Team Number]]="","",_xlfn.XLOOKUP(TournamentData[[#This Row],[Team Number]],RobotGameScores[Team Number],RobotGameScores[Robot Game 2 Score],0,0,))</f>
        <v>0</v>
      </c>
      <c r="E53" s="63">
        <f>IF(TournamentData[[#This Row],[Team Number]]="","",_xlfn.XLOOKUP(TournamentData[[#This Row],[Team Number]],RobotGameScores[Team Number],RobotGameScores[Robot Game 3 Score],0,0,))</f>
        <v>0</v>
      </c>
      <c r="F53" s="63">
        <f>IF(TournamentData[[#This Row],[Team Number]]="","",_xlfn.XLOOKUP(TournamentData[[#This Row],[Team Number]],RobotGameScores[Team Number],RobotGameScores[Robot Game 4 Score],0,0,))</f>
        <v>0</v>
      </c>
      <c r="G53" s="63">
        <f>IF(TournamentData[[#This Row],[Team Number]]="","",_xlfn.XLOOKUP(TournamentData[[#This Row],[Team Number]],RobotGameScores[Team Number],RobotGameScores[Robot Game 5 Score],0,0,))</f>
        <v>0</v>
      </c>
      <c r="H53"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53" s="63">
        <f>IF(TournamentData[[#This Row],[Team Number]]="","",_xlfn.RANK.EQ(TournamentData[[#This Row],[Max Robot Game Score]],TournamentData[Max Robot Game Score]))</f>
        <v>1</v>
      </c>
      <c r="J53" s="63">
        <f>IF(TournamentData[[#This Row],[Team Number]]="","",_xlfn.XLOOKUP(TournamentData[[#This Row],[Team Number]],CoreValuesResults[Team Number],CoreValuesResults[Core Values Rank],NumberOfTeams+1,0,))</f>
        <v>1</v>
      </c>
      <c r="K53" s="63">
        <f>IF(TournamentData[[#This Row],[Team Number]]="","",_xlfn.XLOOKUP(TournamentData[[#This Row],[Team Number]],InnovationProjectResults[Team Number],InnovationProjectResults[Innovation Project Rank],NumberOfTeams+1,0,))</f>
        <v>1</v>
      </c>
      <c r="L53" s="63">
        <f>IF(TournamentData[[#This Row],[Team Number]]="","",_xlfn.XLOOKUP(TournamentData[[#This Row],[Team Number]],RobotDesignResults[Team Number],RobotDesignResults[Robot Design Rank],NumberOfTeams+1,0,))</f>
        <v>1</v>
      </c>
      <c r="M53"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53" s="64">
        <f>IF(TournamentData[[#This Row],[Team Number]]="","",IF(M53,RANK(M53,M$3:M$202,1)-COUNTIF(M$3:M$202,0),NumberOfTeams+1))</f>
        <v>1</v>
      </c>
      <c r="O53" s="65">
        <f>_xlfn.XLOOKUP(TournamentData[[#This Row],[Team Number]],CoreValuesResults[Team Number],CoreValuesResults[Breakthrough Selection],0,0,)</f>
        <v>0</v>
      </c>
      <c r="P53" s="65">
        <f>_xlfn.XLOOKUP(TournamentData[[#This Row],[Team Number]],CoreValuesResults[Team Number],CoreValuesResults[Rising All-Star Selection],0,0,)</f>
        <v>0</v>
      </c>
      <c r="Q53" s="65">
        <f>_xlfn.XLOOKUP(TournamentData[[#This Row],[Team Number]],CoreValuesResults[Team Number],CoreValuesResults[Motivate Selection],0,0,)</f>
        <v>0</v>
      </c>
      <c r="R53" s="66"/>
      <c r="S53" s="66"/>
      <c r="T53" s="67"/>
      <c r="U53" s="63">
        <f>_xlfn.XLOOKUP(TournamentData[[#This Row],[Team Number]],CoreValuesResults[Team Number],CoreValuesResults[Core Values Score],0,0,)</f>
        <v>0</v>
      </c>
      <c r="V53" s="63">
        <f>_xlfn.XLOOKUP(TournamentData[[#This Row],[Team Number]],InnovationProjectResults[Team Number],InnovationProjectResults[Innovation Project Score],0,0,)</f>
        <v>0</v>
      </c>
      <c r="W53" s="63">
        <f>_xlfn.XLOOKUP(TournamentData[[#This Row],[Team Number]],RobotDesignResults[Team Number],RobotDesignResults[Robot Design Score],0,0,)</f>
        <v>0</v>
      </c>
      <c r="X53"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53" s="69">
        <f t="shared" si="1"/>
        <v>0</v>
      </c>
      <c r="Z53" s="66"/>
    </row>
    <row r="54" spans="1:26" ht="21" customHeight="1" x14ac:dyDescent="0.45">
      <c r="A54">
        <f>_xlfn.XLOOKUP(52,OfficialTeamList[Row],OfficialTeamList[Team Number],"ERROR",0)</f>
        <v>0</v>
      </c>
      <c r="B54" s="62" t="str">
        <f>_xlfn.XLOOKUP(TournamentData[[#This Row],[Team Number]],OfficialTeamList[Team Number],OfficialTeamList[Team Name],"",0,)</f>
        <v/>
      </c>
      <c r="C54" s="63">
        <f>IF(TournamentData[[#This Row],[Team Number]]="","",_xlfn.XLOOKUP(TournamentData[[#This Row],[Team Number]],RobotGameScores[Team Number],RobotGameScores[Robot Game 1 Score],0,0,))</f>
        <v>0</v>
      </c>
      <c r="D54" s="63">
        <f>IF(TournamentData[[#This Row],[Team Number]]="","",_xlfn.XLOOKUP(TournamentData[[#This Row],[Team Number]],RobotGameScores[Team Number],RobotGameScores[Robot Game 2 Score],0,0,))</f>
        <v>0</v>
      </c>
      <c r="E54" s="63">
        <f>IF(TournamentData[[#This Row],[Team Number]]="","",_xlfn.XLOOKUP(TournamentData[[#This Row],[Team Number]],RobotGameScores[Team Number],RobotGameScores[Robot Game 3 Score],0,0,))</f>
        <v>0</v>
      </c>
      <c r="F54" s="63">
        <f>IF(TournamentData[[#This Row],[Team Number]]="","",_xlfn.XLOOKUP(TournamentData[[#This Row],[Team Number]],RobotGameScores[Team Number],RobotGameScores[Robot Game 4 Score],0,0,))</f>
        <v>0</v>
      </c>
      <c r="G54" s="63">
        <f>IF(TournamentData[[#This Row],[Team Number]]="","",_xlfn.XLOOKUP(TournamentData[[#This Row],[Team Number]],RobotGameScores[Team Number],RobotGameScores[Robot Game 5 Score],0,0,))</f>
        <v>0</v>
      </c>
      <c r="H54"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54" s="63">
        <f>IF(TournamentData[[#This Row],[Team Number]]="","",_xlfn.RANK.EQ(TournamentData[[#This Row],[Max Robot Game Score]],TournamentData[Max Robot Game Score]))</f>
        <v>1</v>
      </c>
      <c r="J54" s="63">
        <f>IF(TournamentData[[#This Row],[Team Number]]="","",_xlfn.XLOOKUP(TournamentData[[#This Row],[Team Number]],CoreValuesResults[Team Number],CoreValuesResults[Core Values Rank],NumberOfTeams+1,0,))</f>
        <v>1</v>
      </c>
      <c r="K54" s="63">
        <f>IF(TournamentData[[#This Row],[Team Number]]="","",_xlfn.XLOOKUP(TournamentData[[#This Row],[Team Number]],InnovationProjectResults[Team Number],InnovationProjectResults[Innovation Project Rank],NumberOfTeams+1,0,))</f>
        <v>1</v>
      </c>
      <c r="L54" s="63">
        <f>IF(TournamentData[[#This Row],[Team Number]]="","",_xlfn.XLOOKUP(TournamentData[[#This Row],[Team Number]],RobotDesignResults[Team Number],RobotDesignResults[Robot Design Rank],NumberOfTeams+1,0,))</f>
        <v>1</v>
      </c>
      <c r="M54"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54" s="64">
        <f>IF(TournamentData[[#This Row],[Team Number]]="","",IF(M54,RANK(M54,M$3:M$202,1)-COUNTIF(M$3:M$202,0),NumberOfTeams+1))</f>
        <v>1</v>
      </c>
      <c r="O54" s="65">
        <f>_xlfn.XLOOKUP(TournamentData[[#This Row],[Team Number]],CoreValuesResults[Team Number],CoreValuesResults[Breakthrough Selection],0,0,)</f>
        <v>0</v>
      </c>
      <c r="P54" s="65">
        <f>_xlfn.XLOOKUP(TournamentData[[#This Row],[Team Number]],CoreValuesResults[Team Number],CoreValuesResults[Rising All-Star Selection],0,0,)</f>
        <v>0</v>
      </c>
      <c r="Q54" s="65">
        <f>_xlfn.XLOOKUP(TournamentData[[#This Row],[Team Number]],CoreValuesResults[Team Number],CoreValuesResults[Motivate Selection],0,0,)</f>
        <v>0</v>
      </c>
      <c r="R54" s="66"/>
      <c r="S54" s="66"/>
      <c r="T54" s="67"/>
      <c r="U54" s="63">
        <f>_xlfn.XLOOKUP(TournamentData[[#This Row],[Team Number]],CoreValuesResults[Team Number],CoreValuesResults[Core Values Score],0,0,)</f>
        <v>0</v>
      </c>
      <c r="V54" s="63">
        <f>_xlfn.XLOOKUP(TournamentData[[#This Row],[Team Number]],InnovationProjectResults[Team Number],InnovationProjectResults[Innovation Project Score],0,0,)</f>
        <v>0</v>
      </c>
      <c r="W54" s="63">
        <f>_xlfn.XLOOKUP(TournamentData[[#This Row],[Team Number]],RobotDesignResults[Team Number],RobotDesignResults[Robot Design Score],0,0,)</f>
        <v>0</v>
      </c>
      <c r="X54"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54" s="69">
        <f t="shared" si="1"/>
        <v>0</v>
      </c>
      <c r="Z54" s="66"/>
    </row>
    <row r="55" spans="1:26" ht="21" customHeight="1" x14ac:dyDescent="0.45">
      <c r="A55">
        <f>_xlfn.XLOOKUP(53,OfficialTeamList[Row],OfficialTeamList[Team Number],"ERROR",0)</f>
        <v>0</v>
      </c>
      <c r="B55" s="62" t="str">
        <f>_xlfn.XLOOKUP(TournamentData[[#This Row],[Team Number]],OfficialTeamList[Team Number],OfficialTeamList[Team Name],"",0,)</f>
        <v/>
      </c>
      <c r="C55" s="63">
        <f>IF(TournamentData[[#This Row],[Team Number]]="","",_xlfn.XLOOKUP(TournamentData[[#This Row],[Team Number]],RobotGameScores[Team Number],RobotGameScores[Robot Game 1 Score],0,0,))</f>
        <v>0</v>
      </c>
      <c r="D55" s="63">
        <f>IF(TournamentData[[#This Row],[Team Number]]="","",_xlfn.XLOOKUP(TournamentData[[#This Row],[Team Number]],RobotGameScores[Team Number],RobotGameScores[Robot Game 2 Score],0,0,))</f>
        <v>0</v>
      </c>
      <c r="E55" s="63">
        <f>IF(TournamentData[[#This Row],[Team Number]]="","",_xlfn.XLOOKUP(TournamentData[[#This Row],[Team Number]],RobotGameScores[Team Number],RobotGameScores[Robot Game 3 Score],0,0,))</f>
        <v>0</v>
      </c>
      <c r="F55" s="63">
        <f>IF(TournamentData[[#This Row],[Team Number]]="","",_xlfn.XLOOKUP(TournamentData[[#This Row],[Team Number]],RobotGameScores[Team Number],RobotGameScores[Robot Game 4 Score],0,0,))</f>
        <v>0</v>
      </c>
      <c r="G55" s="63">
        <f>IF(TournamentData[[#This Row],[Team Number]]="","",_xlfn.XLOOKUP(TournamentData[[#This Row],[Team Number]],RobotGameScores[Team Number],RobotGameScores[Robot Game 5 Score],0,0,))</f>
        <v>0</v>
      </c>
      <c r="H55"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55" s="63">
        <f>IF(TournamentData[[#This Row],[Team Number]]="","",_xlfn.RANK.EQ(TournamentData[[#This Row],[Max Robot Game Score]],TournamentData[Max Robot Game Score]))</f>
        <v>1</v>
      </c>
      <c r="J55" s="63">
        <f>IF(TournamentData[[#This Row],[Team Number]]="","",_xlfn.XLOOKUP(TournamentData[[#This Row],[Team Number]],CoreValuesResults[Team Number],CoreValuesResults[Core Values Rank],NumberOfTeams+1,0,))</f>
        <v>1</v>
      </c>
      <c r="K55" s="63">
        <f>IF(TournamentData[[#This Row],[Team Number]]="","",_xlfn.XLOOKUP(TournamentData[[#This Row],[Team Number]],InnovationProjectResults[Team Number],InnovationProjectResults[Innovation Project Rank],NumberOfTeams+1,0,))</f>
        <v>1</v>
      </c>
      <c r="L55" s="63">
        <f>IF(TournamentData[[#This Row],[Team Number]]="","",_xlfn.XLOOKUP(TournamentData[[#This Row],[Team Number]],RobotDesignResults[Team Number],RobotDesignResults[Robot Design Rank],NumberOfTeams+1,0,))</f>
        <v>1</v>
      </c>
      <c r="M55"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55" s="64">
        <f>IF(TournamentData[[#This Row],[Team Number]]="","",IF(M55,RANK(M55,M$3:M$202,1)-COUNTIF(M$3:M$202,0),NumberOfTeams+1))</f>
        <v>1</v>
      </c>
      <c r="O55" s="65">
        <f>_xlfn.XLOOKUP(TournamentData[[#This Row],[Team Number]],CoreValuesResults[Team Number],CoreValuesResults[Breakthrough Selection],0,0,)</f>
        <v>0</v>
      </c>
      <c r="P55" s="65">
        <f>_xlfn.XLOOKUP(TournamentData[[#This Row],[Team Number]],CoreValuesResults[Team Number],CoreValuesResults[Rising All-Star Selection],0,0,)</f>
        <v>0</v>
      </c>
      <c r="Q55" s="65">
        <f>_xlfn.XLOOKUP(TournamentData[[#This Row],[Team Number]],CoreValuesResults[Team Number],CoreValuesResults[Motivate Selection],0,0,)</f>
        <v>0</v>
      </c>
      <c r="R55" s="66"/>
      <c r="S55" s="66"/>
      <c r="T55" s="67"/>
      <c r="U55" s="63">
        <f>_xlfn.XLOOKUP(TournamentData[[#This Row],[Team Number]],CoreValuesResults[Team Number],CoreValuesResults[Core Values Score],0,0,)</f>
        <v>0</v>
      </c>
      <c r="V55" s="63">
        <f>_xlfn.XLOOKUP(TournamentData[[#This Row],[Team Number]],InnovationProjectResults[Team Number],InnovationProjectResults[Innovation Project Score],0,0,)</f>
        <v>0</v>
      </c>
      <c r="W55" s="63">
        <f>_xlfn.XLOOKUP(TournamentData[[#This Row],[Team Number]],RobotDesignResults[Team Number],RobotDesignResults[Robot Design Score],0,0,)</f>
        <v>0</v>
      </c>
      <c r="X55"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55" s="69">
        <f t="shared" si="1"/>
        <v>0</v>
      </c>
      <c r="Z55" s="66"/>
    </row>
    <row r="56" spans="1:26" ht="21" customHeight="1" x14ac:dyDescent="0.45">
      <c r="A56">
        <f>_xlfn.XLOOKUP(54,OfficialTeamList[Row],OfficialTeamList[Team Number],"ERROR",0)</f>
        <v>0</v>
      </c>
      <c r="B56" s="62" t="str">
        <f>_xlfn.XLOOKUP(TournamentData[[#This Row],[Team Number]],OfficialTeamList[Team Number],OfficialTeamList[Team Name],"",0,)</f>
        <v/>
      </c>
      <c r="C56" s="63">
        <f>IF(TournamentData[[#This Row],[Team Number]]="","",_xlfn.XLOOKUP(TournamentData[[#This Row],[Team Number]],RobotGameScores[Team Number],RobotGameScores[Robot Game 1 Score],0,0,))</f>
        <v>0</v>
      </c>
      <c r="D56" s="63">
        <f>IF(TournamentData[[#This Row],[Team Number]]="","",_xlfn.XLOOKUP(TournamentData[[#This Row],[Team Number]],RobotGameScores[Team Number],RobotGameScores[Robot Game 2 Score],0,0,))</f>
        <v>0</v>
      </c>
      <c r="E56" s="63">
        <f>IF(TournamentData[[#This Row],[Team Number]]="","",_xlfn.XLOOKUP(TournamentData[[#This Row],[Team Number]],RobotGameScores[Team Number],RobotGameScores[Robot Game 3 Score],0,0,))</f>
        <v>0</v>
      </c>
      <c r="F56" s="63">
        <f>IF(TournamentData[[#This Row],[Team Number]]="","",_xlfn.XLOOKUP(TournamentData[[#This Row],[Team Number]],RobotGameScores[Team Number],RobotGameScores[Robot Game 4 Score],0,0,))</f>
        <v>0</v>
      </c>
      <c r="G56" s="63">
        <f>IF(TournamentData[[#This Row],[Team Number]]="","",_xlfn.XLOOKUP(TournamentData[[#This Row],[Team Number]],RobotGameScores[Team Number],RobotGameScores[Robot Game 5 Score],0,0,))</f>
        <v>0</v>
      </c>
      <c r="H56"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56" s="63">
        <f>IF(TournamentData[[#This Row],[Team Number]]="","",_xlfn.RANK.EQ(TournamentData[[#This Row],[Max Robot Game Score]],TournamentData[Max Robot Game Score]))</f>
        <v>1</v>
      </c>
      <c r="J56" s="63">
        <f>IF(TournamentData[[#This Row],[Team Number]]="","",_xlfn.XLOOKUP(TournamentData[[#This Row],[Team Number]],CoreValuesResults[Team Number],CoreValuesResults[Core Values Rank],NumberOfTeams+1,0,))</f>
        <v>1</v>
      </c>
      <c r="K56" s="63">
        <f>IF(TournamentData[[#This Row],[Team Number]]="","",_xlfn.XLOOKUP(TournamentData[[#This Row],[Team Number]],InnovationProjectResults[Team Number],InnovationProjectResults[Innovation Project Rank],NumberOfTeams+1,0,))</f>
        <v>1</v>
      </c>
      <c r="L56" s="63">
        <f>IF(TournamentData[[#This Row],[Team Number]]="","",_xlfn.XLOOKUP(TournamentData[[#This Row],[Team Number]],RobotDesignResults[Team Number],RobotDesignResults[Robot Design Rank],NumberOfTeams+1,0,))</f>
        <v>1</v>
      </c>
      <c r="M56"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56" s="64">
        <f>IF(TournamentData[[#This Row],[Team Number]]="","",IF(M56,RANK(M56,M$3:M$202,1)-COUNTIF(M$3:M$202,0),NumberOfTeams+1))</f>
        <v>1</v>
      </c>
      <c r="O56" s="65">
        <f>_xlfn.XLOOKUP(TournamentData[[#This Row],[Team Number]],CoreValuesResults[Team Number],CoreValuesResults[Breakthrough Selection],0,0,)</f>
        <v>0</v>
      </c>
      <c r="P56" s="65">
        <f>_xlfn.XLOOKUP(TournamentData[[#This Row],[Team Number]],CoreValuesResults[Team Number],CoreValuesResults[Rising All-Star Selection],0,0,)</f>
        <v>0</v>
      </c>
      <c r="Q56" s="65">
        <f>_xlfn.XLOOKUP(TournamentData[[#This Row],[Team Number]],CoreValuesResults[Team Number],CoreValuesResults[Motivate Selection],0,0,)</f>
        <v>0</v>
      </c>
      <c r="R56" s="66"/>
      <c r="S56" s="66"/>
      <c r="T56" s="67"/>
      <c r="U56" s="63">
        <f>_xlfn.XLOOKUP(TournamentData[[#This Row],[Team Number]],CoreValuesResults[Team Number],CoreValuesResults[Core Values Score],0,0,)</f>
        <v>0</v>
      </c>
      <c r="V56" s="63">
        <f>_xlfn.XLOOKUP(TournamentData[[#This Row],[Team Number]],InnovationProjectResults[Team Number],InnovationProjectResults[Innovation Project Score],0,0,)</f>
        <v>0</v>
      </c>
      <c r="W56" s="63">
        <f>_xlfn.XLOOKUP(TournamentData[[#This Row],[Team Number]],RobotDesignResults[Team Number],RobotDesignResults[Robot Design Score],0,0,)</f>
        <v>0</v>
      </c>
      <c r="X56"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56" s="69">
        <f t="shared" si="1"/>
        <v>0</v>
      </c>
      <c r="Z56" s="66"/>
    </row>
    <row r="57" spans="1:26" ht="21" customHeight="1" x14ac:dyDescent="0.45">
      <c r="A57">
        <f>_xlfn.XLOOKUP(55,OfficialTeamList[Row],OfficialTeamList[Team Number],"ERROR",0)</f>
        <v>0</v>
      </c>
      <c r="B57" s="62" t="str">
        <f>_xlfn.XLOOKUP(TournamentData[[#This Row],[Team Number]],OfficialTeamList[Team Number],OfficialTeamList[Team Name],"",0,)</f>
        <v/>
      </c>
      <c r="C57" s="63">
        <f>IF(TournamentData[[#This Row],[Team Number]]="","",_xlfn.XLOOKUP(TournamentData[[#This Row],[Team Number]],RobotGameScores[Team Number],RobotGameScores[Robot Game 1 Score],0,0,))</f>
        <v>0</v>
      </c>
      <c r="D57" s="63">
        <f>IF(TournamentData[[#This Row],[Team Number]]="","",_xlfn.XLOOKUP(TournamentData[[#This Row],[Team Number]],RobotGameScores[Team Number],RobotGameScores[Robot Game 2 Score],0,0,))</f>
        <v>0</v>
      </c>
      <c r="E57" s="63">
        <f>IF(TournamentData[[#This Row],[Team Number]]="","",_xlfn.XLOOKUP(TournamentData[[#This Row],[Team Number]],RobotGameScores[Team Number],RobotGameScores[Robot Game 3 Score],0,0,))</f>
        <v>0</v>
      </c>
      <c r="F57" s="63">
        <f>IF(TournamentData[[#This Row],[Team Number]]="","",_xlfn.XLOOKUP(TournamentData[[#This Row],[Team Number]],RobotGameScores[Team Number],RobotGameScores[Robot Game 4 Score],0,0,))</f>
        <v>0</v>
      </c>
      <c r="G57" s="63">
        <f>IF(TournamentData[[#This Row],[Team Number]]="","",_xlfn.XLOOKUP(TournamentData[[#This Row],[Team Number]],RobotGameScores[Team Number],RobotGameScores[Robot Game 5 Score],0,0,))</f>
        <v>0</v>
      </c>
      <c r="H57"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57" s="63">
        <f>IF(TournamentData[[#This Row],[Team Number]]="","",_xlfn.RANK.EQ(TournamentData[[#This Row],[Max Robot Game Score]],TournamentData[Max Robot Game Score]))</f>
        <v>1</v>
      </c>
      <c r="J57" s="63">
        <f>IF(TournamentData[[#This Row],[Team Number]]="","",_xlfn.XLOOKUP(TournamentData[[#This Row],[Team Number]],CoreValuesResults[Team Number],CoreValuesResults[Core Values Rank],NumberOfTeams+1,0,))</f>
        <v>1</v>
      </c>
      <c r="K57" s="63">
        <f>IF(TournamentData[[#This Row],[Team Number]]="","",_xlfn.XLOOKUP(TournamentData[[#This Row],[Team Number]],InnovationProjectResults[Team Number],InnovationProjectResults[Innovation Project Rank],NumberOfTeams+1,0,))</f>
        <v>1</v>
      </c>
      <c r="L57" s="63">
        <f>IF(TournamentData[[#This Row],[Team Number]]="","",_xlfn.XLOOKUP(TournamentData[[#This Row],[Team Number]],RobotDesignResults[Team Number],RobotDesignResults[Robot Design Rank],NumberOfTeams+1,0,))</f>
        <v>1</v>
      </c>
      <c r="M57"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57" s="64">
        <f>IF(TournamentData[[#This Row],[Team Number]]="","",IF(M57,RANK(M57,M$3:M$202,1)-COUNTIF(M$3:M$202,0),NumberOfTeams+1))</f>
        <v>1</v>
      </c>
      <c r="O57" s="65">
        <f>_xlfn.XLOOKUP(TournamentData[[#This Row],[Team Number]],CoreValuesResults[Team Number],CoreValuesResults[Breakthrough Selection],0,0,)</f>
        <v>0</v>
      </c>
      <c r="P57" s="65">
        <f>_xlfn.XLOOKUP(TournamentData[[#This Row],[Team Number]],CoreValuesResults[Team Number],CoreValuesResults[Rising All-Star Selection],0,0,)</f>
        <v>0</v>
      </c>
      <c r="Q57" s="65">
        <f>_xlfn.XLOOKUP(TournamentData[[#This Row],[Team Number]],CoreValuesResults[Team Number],CoreValuesResults[Motivate Selection],0,0,)</f>
        <v>0</v>
      </c>
      <c r="R57" s="66"/>
      <c r="S57" s="66"/>
      <c r="T57" s="67"/>
      <c r="U57" s="63">
        <f>_xlfn.XLOOKUP(TournamentData[[#This Row],[Team Number]],CoreValuesResults[Team Number],CoreValuesResults[Core Values Score],0,0,)</f>
        <v>0</v>
      </c>
      <c r="V57" s="63">
        <f>_xlfn.XLOOKUP(TournamentData[[#This Row],[Team Number]],InnovationProjectResults[Team Number],InnovationProjectResults[Innovation Project Score],0,0,)</f>
        <v>0</v>
      </c>
      <c r="W57" s="63">
        <f>_xlfn.XLOOKUP(TournamentData[[#This Row],[Team Number]],RobotDesignResults[Team Number],RobotDesignResults[Robot Design Score],0,0,)</f>
        <v>0</v>
      </c>
      <c r="X57"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57" s="69">
        <f t="shared" si="1"/>
        <v>0</v>
      </c>
      <c r="Z57" s="66"/>
    </row>
    <row r="58" spans="1:26" ht="21" customHeight="1" x14ac:dyDescent="0.45">
      <c r="A58">
        <f>_xlfn.XLOOKUP(56,OfficialTeamList[Row],OfficialTeamList[Team Number],"ERROR",0)</f>
        <v>0</v>
      </c>
      <c r="B58" s="62" t="str">
        <f>_xlfn.XLOOKUP(TournamentData[[#This Row],[Team Number]],OfficialTeamList[Team Number],OfficialTeamList[Team Name],"",0,)</f>
        <v/>
      </c>
      <c r="C58" s="63">
        <f>IF(TournamentData[[#This Row],[Team Number]]="","",_xlfn.XLOOKUP(TournamentData[[#This Row],[Team Number]],RobotGameScores[Team Number],RobotGameScores[Robot Game 1 Score],0,0,))</f>
        <v>0</v>
      </c>
      <c r="D58" s="63">
        <f>IF(TournamentData[[#This Row],[Team Number]]="","",_xlfn.XLOOKUP(TournamentData[[#This Row],[Team Number]],RobotGameScores[Team Number],RobotGameScores[Robot Game 2 Score],0,0,))</f>
        <v>0</v>
      </c>
      <c r="E58" s="63">
        <f>IF(TournamentData[[#This Row],[Team Number]]="","",_xlfn.XLOOKUP(TournamentData[[#This Row],[Team Number]],RobotGameScores[Team Number],RobotGameScores[Robot Game 3 Score],0,0,))</f>
        <v>0</v>
      </c>
      <c r="F58" s="63">
        <f>IF(TournamentData[[#This Row],[Team Number]]="","",_xlfn.XLOOKUP(TournamentData[[#This Row],[Team Number]],RobotGameScores[Team Number],RobotGameScores[Robot Game 4 Score],0,0,))</f>
        <v>0</v>
      </c>
      <c r="G58" s="63">
        <f>IF(TournamentData[[#This Row],[Team Number]]="","",_xlfn.XLOOKUP(TournamentData[[#This Row],[Team Number]],RobotGameScores[Team Number],RobotGameScores[Robot Game 5 Score],0,0,))</f>
        <v>0</v>
      </c>
      <c r="H58"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58" s="63">
        <f>IF(TournamentData[[#This Row],[Team Number]]="","",_xlfn.RANK.EQ(TournamentData[[#This Row],[Max Robot Game Score]],TournamentData[Max Robot Game Score]))</f>
        <v>1</v>
      </c>
      <c r="J58" s="63">
        <f>IF(TournamentData[[#This Row],[Team Number]]="","",_xlfn.XLOOKUP(TournamentData[[#This Row],[Team Number]],CoreValuesResults[Team Number],CoreValuesResults[Core Values Rank],NumberOfTeams+1,0,))</f>
        <v>1</v>
      </c>
      <c r="K58" s="63">
        <f>IF(TournamentData[[#This Row],[Team Number]]="","",_xlfn.XLOOKUP(TournamentData[[#This Row],[Team Number]],InnovationProjectResults[Team Number],InnovationProjectResults[Innovation Project Rank],NumberOfTeams+1,0,))</f>
        <v>1</v>
      </c>
      <c r="L58" s="63">
        <f>IF(TournamentData[[#This Row],[Team Number]]="","",_xlfn.XLOOKUP(TournamentData[[#This Row],[Team Number]],RobotDesignResults[Team Number],RobotDesignResults[Robot Design Rank],NumberOfTeams+1,0,))</f>
        <v>1</v>
      </c>
      <c r="M58"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58" s="64">
        <f>IF(TournamentData[[#This Row],[Team Number]]="","",IF(M58,RANK(M58,M$3:M$202,1)-COUNTIF(M$3:M$202,0),NumberOfTeams+1))</f>
        <v>1</v>
      </c>
      <c r="O58" s="65">
        <f>_xlfn.XLOOKUP(TournamentData[[#This Row],[Team Number]],CoreValuesResults[Team Number],CoreValuesResults[Breakthrough Selection],0,0,)</f>
        <v>0</v>
      </c>
      <c r="P58" s="65">
        <f>_xlfn.XLOOKUP(TournamentData[[#This Row],[Team Number]],CoreValuesResults[Team Number],CoreValuesResults[Rising All-Star Selection],0,0,)</f>
        <v>0</v>
      </c>
      <c r="Q58" s="65">
        <f>_xlfn.XLOOKUP(TournamentData[[#This Row],[Team Number]],CoreValuesResults[Team Number],CoreValuesResults[Motivate Selection],0,0,)</f>
        <v>0</v>
      </c>
      <c r="R58" s="66"/>
      <c r="S58" s="66"/>
      <c r="T58" s="67"/>
      <c r="U58" s="63">
        <f>_xlfn.XLOOKUP(TournamentData[[#This Row],[Team Number]],CoreValuesResults[Team Number],CoreValuesResults[Core Values Score],0,0,)</f>
        <v>0</v>
      </c>
      <c r="V58" s="63">
        <f>_xlfn.XLOOKUP(TournamentData[[#This Row],[Team Number]],InnovationProjectResults[Team Number],InnovationProjectResults[Innovation Project Score],0,0,)</f>
        <v>0</v>
      </c>
      <c r="W58" s="63">
        <f>_xlfn.XLOOKUP(TournamentData[[#This Row],[Team Number]],RobotDesignResults[Team Number],RobotDesignResults[Robot Design Score],0,0,)</f>
        <v>0</v>
      </c>
      <c r="X58"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58" s="69">
        <f t="shared" si="1"/>
        <v>0</v>
      </c>
      <c r="Z58" s="66"/>
    </row>
    <row r="59" spans="1:26" ht="21" customHeight="1" x14ac:dyDescent="0.45">
      <c r="A59">
        <f>_xlfn.XLOOKUP(57,OfficialTeamList[Row],OfficialTeamList[Team Number],"ERROR",0)</f>
        <v>0</v>
      </c>
      <c r="B59" s="62" t="str">
        <f>_xlfn.XLOOKUP(TournamentData[[#This Row],[Team Number]],OfficialTeamList[Team Number],OfficialTeamList[Team Name],"",0,)</f>
        <v/>
      </c>
      <c r="C59" s="63">
        <f>IF(TournamentData[[#This Row],[Team Number]]="","",_xlfn.XLOOKUP(TournamentData[[#This Row],[Team Number]],RobotGameScores[Team Number],RobotGameScores[Robot Game 1 Score],0,0,))</f>
        <v>0</v>
      </c>
      <c r="D59" s="63">
        <f>IF(TournamentData[[#This Row],[Team Number]]="","",_xlfn.XLOOKUP(TournamentData[[#This Row],[Team Number]],RobotGameScores[Team Number],RobotGameScores[Robot Game 2 Score],0,0,))</f>
        <v>0</v>
      </c>
      <c r="E59" s="63">
        <f>IF(TournamentData[[#This Row],[Team Number]]="","",_xlfn.XLOOKUP(TournamentData[[#This Row],[Team Number]],RobotGameScores[Team Number],RobotGameScores[Robot Game 3 Score],0,0,))</f>
        <v>0</v>
      </c>
      <c r="F59" s="63">
        <f>IF(TournamentData[[#This Row],[Team Number]]="","",_xlfn.XLOOKUP(TournamentData[[#This Row],[Team Number]],RobotGameScores[Team Number],RobotGameScores[Robot Game 4 Score],0,0,))</f>
        <v>0</v>
      </c>
      <c r="G59" s="63">
        <f>IF(TournamentData[[#This Row],[Team Number]]="","",_xlfn.XLOOKUP(TournamentData[[#This Row],[Team Number]],RobotGameScores[Team Number],RobotGameScores[Robot Game 5 Score],0,0,))</f>
        <v>0</v>
      </c>
      <c r="H59"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59" s="63">
        <f>IF(TournamentData[[#This Row],[Team Number]]="","",_xlfn.RANK.EQ(TournamentData[[#This Row],[Max Robot Game Score]],TournamentData[Max Robot Game Score]))</f>
        <v>1</v>
      </c>
      <c r="J59" s="63">
        <f>IF(TournamentData[[#This Row],[Team Number]]="","",_xlfn.XLOOKUP(TournamentData[[#This Row],[Team Number]],CoreValuesResults[Team Number],CoreValuesResults[Core Values Rank],NumberOfTeams+1,0,))</f>
        <v>1</v>
      </c>
      <c r="K59" s="63">
        <f>IF(TournamentData[[#This Row],[Team Number]]="","",_xlfn.XLOOKUP(TournamentData[[#This Row],[Team Number]],InnovationProjectResults[Team Number],InnovationProjectResults[Innovation Project Rank],NumberOfTeams+1,0,))</f>
        <v>1</v>
      </c>
      <c r="L59" s="63">
        <f>IF(TournamentData[[#This Row],[Team Number]]="","",_xlfn.XLOOKUP(TournamentData[[#This Row],[Team Number]],RobotDesignResults[Team Number],RobotDesignResults[Robot Design Rank],NumberOfTeams+1,0,))</f>
        <v>1</v>
      </c>
      <c r="M59"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59" s="64">
        <f>IF(TournamentData[[#This Row],[Team Number]]="","",IF(M59,RANK(M59,M$3:M$202,1)-COUNTIF(M$3:M$202,0),NumberOfTeams+1))</f>
        <v>1</v>
      </c>
      <c r="O59" s="65">
        <f>_xlfn.XLOOKUP(TournamentData[[#This Row],[Team Number]],CoreValuesResults[Team Number],CoreValuesResults[Breakthrough Selection],0,0,)</f>
        <v>0</v>
      </c>
      <c r="P59" s="65">
        <f>_xlfn.XLOOKUP(TournamentData[[#This Row],[Team Number]],CoreValuesResults[Team Number],CoreValuesResults[Rising All-Star Selection],0,0,)</f>
        <v>0</v>
      </c>
      <c r="Q59" s="65">
        <f>_xlfn.XLOOKUP(TournamentData[[#This Row],[Team Number]],CoreValuesResults[Team Number],CoreValuesResults[Motivate Selection],0,0,)</f>
        <v>0</v>
      </c>
      <c r="R59" s="66"/>
      <c r="S59" s="66"/>
      <c r="T59" s="67"/>
      <c r="U59" s="63">
        <f>_xlfn.XLOOKUP(TournamentData[[#This Row],[Team Number]],CoreValuesResults[Team Number],CoreValuesResults[Core Values Score],0,0,)</f>
        <v>0</v>
      </c>
      <c r="V59" s="63">
        <f>_xlfn.XLOOKUP(TournamentData[[#This Row],[Team Number]],InnovationProjectResults[Team Number],InnovationProjectResults[Innovation Project Score],0,0,)</f>
        <v>0</v>
      </c>
      <c r="W59" s="63">
        <f>_xlfn.XLOOKUP(TournamentData[[#This Row],[Team Number]],RobotDesignResults[Team Number],RobotDesignResults[Robot Design Score],0,0,)</f>
        <v>0</v>
      </c>
      <c r="X59"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59" s="69">
        <f t="shared" si="1"/>
        <v>0</v>
      </c>
      <c r="Z59" s="66"/>
    </row>
    <row r="60" spans="1:26" ht="21" customHeight="1" x14ac:dyDescent="0.45">
      <c r="A60">
        <f>_xlfn.XLOOKUP(58,OfficialTeamList[Row],OfficialTeamList[Team Number],"ERROR",0)</f>
        <v>0</v>
      </c>
      <c r="B60" s="62" t="str">
        <f>_xlfn.XLOOKUP(TournamentData[[#This Row],[Team Number]],OfficialTeamList[Team Number],OfficialTeamList[Team Name],"",0,)</f>
        <v/>
      </c>
      <c r="C60" s="63">
        <f>IF(TournamentData[[#This Row],[Team Number]]="","",_xlfn.XLOOKUP(TournamentData[[#This Row],[Team Number]],RobotGameScores[Team Number],RobotGameScores[Robot Game 1 Score],0,0,))</f>
        <v>0</v>
      </c>
      <c r="D60" s="63">
        <f>IF(TournamentData[[#This Row],[Team Number]]="","",_xlfn.XLOOKUP(TournamentData[[#This Row],[Team Number]],RobotGameScores[Team Number],RobotGameScores[Robot Game 2 Score],0,0,))</f>
        <v>0</v>
      </c>
      <c r="E60" s="63">
        <f>IF(TournamentData[[#This Row],[Team Number]]="","",_xlfn.XLOOKUP(TournamentData[[#This Row],[Team Number]],RobotGameScores[Team Number],RobotGameScores[Robot Game 3 Score],0,0,))</f>
        <v>0</v>
      </c>
      <c r="F60" s="63">
        <f>IF(TournamentData[[#This Row],[Team Number]]="","",_xlfn.XLOOKUP(TournamentData[[#This Row],[Team Number]],RobotGameScores[Team Number],RobotGameScores[Robot Game 4 Score],0,0,))</f>
        <v>0</v>
      </c>
      <c r="G60" s="63">
        <f>IF(TournamentData[[#This Row],[Team Number]]="","",_xlfn.XLOOKUP(TournamentData[[#This Row],[Team Number]],RobotGameScores[Team Number],RobotGameScores[Robot Game 5 Score],0,0,))</f>
        <v>0</v>
      </c>
      <c r="H60"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60" s="63">
        <f>IF(TournamentData[[#This Row],[Team Number]]="","",_xlfn.RANK.EQ(TournamentData[[#This Row],[Max Robot Game Score]],TournamentData[Max Robot Game Score]))</f>
        <v>1</v>
      </c>
      <c r="J60" s="63">
        <f>IF(TournamentData[[#This Row],[Team Number]]="","",_xlfn.XLOOKUP(TournamentData[[#This Row],[Team Number]],CoreValuesResults[Team Number],CoreValuesResults[Core Values Rank],NumberOfTeams+1,0,))</f>
        <v>1</v>
      </c>
      <c r="K60" s="63">
        <f>IF(TournamentData[[#This Row],[Team Number]]="","",_xlfn.XLOOKUP(TournamentData[[#This Row],[Team Number]],InnovationProjectResults[Team Number],InnovationProjectResults[Innovation Project Rank],NumberOfTeams+1,0,))</f>
        <v>1</v>
      </c>
      <c r="L60" s="63">
        <f>IF(TournamentData[[#This Row],[Team Number]]="","",_xlfn.XLOOKUP(TournamentData[[#This Row],[Team Number]],RobotDesignResults[Team Number],RobotDesignResults[Robot Design Rank],NumberOfTeams+1,0,))</f>
        <v>1</v>
      </c>
      <c r="M60"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60" s="64">
        <f>IF(TournamentData[[#This Row],[Team Number]]="","",IF(M60,RANK(M60,M$3:M$202,1)-COUNTIF(M$3:M$202,0),NumberOfTeams+1))</f>
        <v>1</v>
      </c>
      <c r="O60" s="65">
        <f>_xlfn.XLOOKUP(TournamentData[[#This Row],[Team Number]],CoreValuesResults[Team Number],CoreValuesResults[Breakthrough Selection],0,0,)</f>
        <v>0</v>
      </c>
      <c r="P60" s="65">
        <f>_xlfn.XLOOKUP(TournamentData[[#This Row],[Team Number]],CoreValuesResults[Team Number],CoreValuesResults[Rising All-Star Selection],0,0,)</f>
        <v>0</v>
      </c>
      <c r="Q60" s="65">
        <f>_xlfn.XLOOKUP(TournamentData[[#This Row],[Team Number]],CoreValuesResults[Team Number],CoreValuesResults[Motivate Selection],0,0,)</f>
        <v>0</v>
      </c>
      <c r="R60" s="66"/>
      <c r="S60" s="66"/>
      <c r="T60" s="67"/>
      <c r="U60" s="63">
        <f>_xlfn.XLOOKUP(TournamentData[[#This Row],[Team Number]],CoreValuesResults[Team Number],CoreValuesResults[Core Values Score],0,0,)</f>
        <v>0</v>
      </c>
      <c r="V60" s="63">
        <f>_xlfn.XLOOKUP(TournamentData[[#This Row],[Team Number]],InnovationProjectResults[Team Number],InnovationProjectResults[Innovation Project Score],0,0,)</f>
        <v>0</v>
      </c>
      <c r="W60" s="63">
        <f>_xlfn.XLOOKUP(TournamentData[[#This Row],[Team Number]],RobotDesignResults[Team Number],RobotDesignResults[Robot Design Score],0,0,)</f>
        <v>0</v>
      </c>
      <c r="X60"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60" s="69">
        <f t="shared" si="1"/>
        <v>0</v>
      </c>
      <c r="Z60" s="66"/>
    </row>
    <row r="61" spans="1:26" ht="21" customHeight="1" x14ac:dyDescent="0.45">
      <c r="A61">
        <f>_xlfn.XLOOKUP(59,OfficialTeamList[Row],OfficialTeamList[Team Number],"ERROR",0)</f>
        <v>0</v>
      </c>
      <c r="B61" s="62" t="str">
        <f>_xlfn.XLOOKUP(TournamentData[[#This Row],[Team Number]],OfficialTeamList[Team Number],OfficialTeamList[Team Name],"",0,)</f>
        <v/>
      </c>
      <c r="C61" s="63">
        <f>IF(TournamentData[[#This Row],[Team Number]]="","",_xlfn.XLOOKUP(TournamentData[[#This Row],[Team Number]],RobotGameScores[Team Number],RobotGameScores[Robot Game 1 Score],0,0,))</f>
        <v>0</v>
      </c>
      <c r="D61" s="63">
        <f>IF(TournamentData[[#This Row],[Team Number]]="","",_xlfn.XLOOKUP(TournamentData[[#This Row],[Team Number]],RobotGameScores[Team Number],RobotGameScores[Robot Game 2 Score],0,0,))</f>
        <v>0</v>
      </c>
      <c r="E61" s="63">
        <f>IF(TournamentData[[#This Row],[Team Number]]="","",_xlfn.XLOOKUP(TournamentData[[#This Row],[Team Number]],RobotGameScores[Team Number],RobotGameScores[Robot Game 3 Score],0,0,))</f>
        <v>0</v>
      </c>
      <c r="F61" s="63">
        <f>IF(TournamentData[[#This Row],[Team Number]]="","",_xlfn.XLOOKUP(TournamentData[[#This Row],[Team Number]],RobotGameScores[Team Number],RobotGameScores[Robot Game 4 Score],0,0,))</f>
        <v>0</v>
      </c>
      <c r="G61" s="63">
        <f>IF(TournamentData[[#This Row],[Team Number]]="","",_xlfn.XLOOKUP(TournamentData[[#This Row],[Team Number]],RobotGameScores[Team Number],RobotGameScores[Robot Game 5 Score],0,0,))</f>
        <v>0</v>
      </c>
      <c r="H61"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61" s="63">
        <f>IF(TournamentData[[#This Row],[Team Number]]="","",_xlfn.RANK.EQ(TournamentData[[#This Row],[Max Robot Game Score]],TournamentData[Max Robot Game Score]))</f>
        <v>1</v>
      </c>
      <c r="J61" s="63">
        <f>IF(TournamentData[[#This Row],[Team Number]]="","",_xlfn.XLOOKUP(TournamentData[[#This Row],[Team Number]],CoreValuesResults[Team Number],CoreValuesResults[Core Values Rank],NumberOfTeams+1,0,))</f>
        <v>1</v>
      </c>
      <c r="K61" s="63">
        <f>IF(TournamentData[[#This Row],[Team Number]]="","",_xlfn.XLOOKUP(TournamentData[[#This Row],[Team Number]],InnovationProjectResults[Team Number],InnovationProjectResults[Innovation Project Rank],NumberOfTeams+1,0,))</f>
        <v>1</v>
      </c>
      <c r="L61" s="63">
        <f>IF(TournamentData[[#This Row],[Team Number]]="","",_xlfn.XLOOKUP(TournamentData[[#This Row],[Team Number]],RobotDesignResults[Team Number],RobotDesignResults[Robot Design Rank],NumberOfTeams+1,0,))</f>
        <v>1</v>
      </c>
      <c r="M61"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61" s="64">
        <f>IF(TournamentData[[#This Row],[Team Number]]="","",IF(M61,RANK(M61,M$3:M$202,1)-COUNTIF(M$3:M$202,0),NumberOfTeams+1))</f>
        <v>1</v>
      </c>
      <c r="O61" s="65">
        <f>_xlfn.XLOOKUP(TournamentData[[#This Row],[Team Number]],CoreValuesResults[Team Number],CoreValuesResults[Breakthrough Selection],0,0,)</f>
        <v>0</v>
      </c>
      <c r="P61" s="65">
        <f>_xlfn.XLOOKUP(TournamentData[[#This Row],[Team Number]],CoreValuesResults[Team Number],CoreValuesResults[Rising All-Star Selection],0,0,)</f>
        <v>0</v>
      </c>
      <c r="Q61" s="65">
        <f>_xlfn.XLOOKUP(TournamentData[[#This Row],[Team Number]],CoreValuesResults[Team Number],CoreValuesResults[Motivate Selection],0,0,)</f>
        <v>0</v>
      </c>
      <c r="R61" s="66"/>
      <c r="S61" s="66"/>
      <c r="T61" s="67"/>
      <c r="U61" s="63">
        <f>_xlfn.XLOOKUP(TournamentData[[#This Row],[Team Number]],CoreValuesResults[Team Number],CoreValuesResults[Core Values Score],0,0,)</f>
        <v>0</v>
      </c>
      <c r="V61" s="63">
        <f>_xlfn.XLOOKUP(TournamentData[[#This Row],[Team Number]],InnovationProjectResults[Team Number],InnovationProjectResults[Innovation Project Score],0,0,)</f>
        <v>0</v>
      </c>
      <c r="W61" s="63">
        <f>_xlfn.XLOOKUP(TournamentData[[#This Row],[Team Number]],RobotDesignResults[Team Number],RobotDesignResults[Robot Design Score],0,0,)</f>
        <v>0</v>
      </c>
      <c r="X61"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61" s="69">
        <f t="shared" si="1"/>
        <v>0</v>
      </c>
      <c r="Z61" s="66"/>
    </row>
    <row r="62" spans="1:26" ht="21" customHeight="1" x14ac:dyDescent="0.45">
      <c r="A62">
        <f>_xlfn.XLOOKUP(60,OfficialTeamList[Row],OfficialTeamList[Team Number],"ERROR",0)</f>
        <v>0</v>
      </c>
      <c r="B62" s="62" t="str">
        <f>_xlfn.XLOOKUP(TournamentData[[#This Row],[Team Number]],OfficialTeamList[Team Number],OfficialTeamList[Team Name],"",0,)</f>
        <v/>
      </c>
      <c r="C62" s="63">
        <f>IF(TournamentData[[#This Row],[Team Number]]="","",_xlfn.XLOOKUP(TournamentData[[#This Row],[Team Number]],RobotGameScores[Team Number],RobotGameScores[Robot Game 1 Score],0,0,))</f>
        <v>0</v>
      </c>
      <c r="D62" s="63">
        <f>IF(TournamentData[[#This Row],[Team Number]]="","",_xlfn.XLOOKUP(TournamentData[[#This Row],[Team Number]],RobotGameScores[Team Number],RobotGameScores[Robot Game 2 Score],0,0,))</f>
        <v>0</v>
      </c>
      <c r="E62" s="63">
        <f>IF(TournamentData[[#This Row],[Team Number]]="","",_xlfn.XLOOKUP(TournamentData[[#This Row],[Team Number]],RobotGameScores[Team Number],RobotGameScores[Robot Game 3 Score],0,0,))</f>
        <v>0</v>
      </c>
      <c r="F62" s="63">
        <f>IF(TournamentData[[#This Row],[Team Number]]="","",_xlfn.XLOOKUP(TournamentData[[#This Row],[Team Number]],RobotGameScores[Team Number],RobotGameScores[Robot Game 4 Score],0,0,))</f>
        <v>0</v>
      </c>
      <c r="G62" s="63">
        <f>IF(TournamentData[[#This Row],[Team Number]]="","",_xlfn.XLOOKUP(TournamentData[[#This Row],[Team Number]],RobotGameScores[Team Number],RobotGameScores[Robot Game 5 Score],0,0,))</f>
        <v>0</v>
      </c>
      <c r="H62"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62" s="63">
        <f>IF(TournamentData[[#This Row],[Team Number]]="","",_xlfn.RANK.EQ(TournamentData[[#This Row],[Max Robot Game Score]],TournamentData[Max Robot Game Score]))</f>
        <v>1</v>
      </c>
      <c r="J62" s="63">
        <f>IF(TournamentData[[#This Row],[Team Number]]="","",_xlfn.XLOOKUP(TournamentData[[#This Row],[Team Number]],CoreValuesResults[Team Number],CoreValuesResults[Core Values Rank],NumberOfTeams+1,0,))</f>
        <v>1</v>
      </c>
      <c r="K62" s="63">
        <f>IF(TournamentData[[#This Row],[Team Number]]="","",_xlfn.XLOOKUP(TournamentData[[#This Row],[Team Number]],InnovationProjectResults[Team Number],InnovationProjectResults[Innovation Project Rank],NumberOfTeams+1,0,))</f>
        <v>1</v>
      </c>
      <c r="L62" s="63">
        <f>IF(TournamentData[[#This Row],[Team Number]]="","",_xlfn.XLOOKUP(TournamentData[[#This Row],[Team Number]],RobotDesignResults[Team Number],RobotDesignResults[Robot Design Rank],NumberOfTeams+1,0,))</f>
        <v>1</v>
      </c>
      <c r="M62"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62" s="64">
        <f>IF(TournamentData[[#This Row],[Team Number]]="","",IF(M62,RANK(M62,M$3:M$202,1)-COUNTIF(M$3:M$202,0),NumberOfTeams+1))</f>
        <v>1</v>
      </c>
      <c r="O62" s="65">
        <f>_xlfn.XLOOKUP(TournamentData[[#This Row],[Team Number]],CoreValuesResults[Team Number],CoreValuesResults[Breakthrough Selection],0,0,)</f>
        <v>0</v>
      </c>
      <c r="P62" s="65">
        <f>_xlfn.XLOOKUP(TournamentData[[#This Row],[Team Number]],CoreValuesResults[Team Number],CoreValuesResults[Rising All-Star Selection],0,0,)</f>
        <v>0</v>
      </c>
      <c r="Q62" s="65">
        <f>_xlfn.XLOOKUP(TournamentData[[#This Row],[Team Number]],CoreValuesResults[Team Number],CoreValuesResults[Motivate Selection],0,0,)</f>
        <v>0</v>
      </c>
      <c r="R62" s="66"/>
      <c r="S62" s="66"/>
      <c r="T62" s="67"/>
      <c r="U62" s="63">
        <f>_xlfn.XLOOKUP(TournamentData[[#This Row],[Team Number]],CoreValuesResults[Team Number],CoreValuesResults[Core Values Score],0,0,)</f>
        <v>0</v>
      </c>
      <c r="V62" s="63">
        <f>_xlfn.XLOOKUP(TournamentData[[#This Row],[Team Number]],InnovationProjectResults[Team Number],InnovationProjectResults[Innovation Project Score],0,0,)</f>
        <v>0</v>
      </c>
      <c r="W62" s="63">
        <f>_xlfn.XLOOKUP(TournamentData[[#This Row],[Team Number]],RobotDesignResults[Team Number],RobotDesignResults[Robot Design Score],0,0,)</f>
        <v>0</v>
      </c>
      <c r="X62"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62" s="69">
        <f t="shared" si="1"/>
        <v>0</v>
      </c>
      <c r="Z62" s="66"/>
    </row>
    <row r="63" spans="1:26" ht="21" customHeight="1" x14ac:dyDescent="0.45">
      <c r="A63">
        <f>_xlfn.XLOOKUP(61,OfficialTeamList[Row],OfficialTeamList[Team Number],"ERROR",0)</f>
        <v>0</v>
      </c>
      <c r="B63" s="62" t="str">
        <f>_xlfn.XLOOKUP(TournamentData[[#This Row],[Team Number]],OfficialTeamList[Team Number],OfficialTeamList[Team Name],"",0,)</f>
        <v/>
      </c>
      <c r="C63" s="63">
        <f>IF(TournamentData[[#This Row],[Team Number]]="","",_xlfn.XLOOKUP(TournamentData[[#This Row],[Team Number]],RobotGameScores[Team Number],RobotGameScores[Robot Game 1 Score],0,0,))</f>
        <v>0</v>
      </c>
      <c r="D63" s="63">
        <f>IF(TournamentData[[#This Row],[Team Number]]="","",_xlfn.XLOOKUP(TournamentData[[#This Row],[Team Number]],RobotGameScores[Team Number],RobotGameScores[Robot Game 2 Score],0,0,))</f>
        <v>0</v>
      </c>
      <c r="E63" s="63">
        <f>IF(TournamentData[[#This Row],[Team Number]]="","",_xlfn.XLOOKUP(TournamentData[[#This Row],[Team Number]],RobotGameScores[Team Number],RobotGameScores[Robot Game 3 Score],0,0,))</f>
        <v>0</v>
      </c>
      <c r="F63" s="63">
        <f>IF(TournamentData[[#This Row],[Team Number]]="","",_xlfn.XLOOKUP(TournamentData[[#This Row],[Team Number]],RobotGameScores[Team Number],RobotGameScores[Robot Game 4 Score],0,0,))</f>
        <v>0</v>
      </c>
      <c r="G63" s="63">
        <f>IF(TournamentData[[#This Row],[Team Number]]="","",_xlfn.XLOOKUP(TournamentData[[#This Row],[Team Number]],RobotGameScores[Team Number],RobotGameScores[Robot Game 5 Score],0,0,))</f>
        <v>0</v>
      </c>
      <c r="H63"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63" s="63">
        <f>IF(TournamentData[[#This Row],[Team Number]]="","",_xlfn.RANK.EQ(TournamentData[[#This Row],[Max Robot Game Score]],TournamentData[Max Robot Game Score]))</f>
        <v>1</v>
      </c>
      <c r="J63" s="63">
        <f>IF(TournamentData[[#This Row],[Team Number]]="","",_xlfn.XLOOKUP(TournamentData[[#This Row],[Team Number]],CoreValuesResults[Team Number],CoreValuesResults[Core Values Rank],NumberOfTeams+1,0,))</f>
        <v>1</v>
      </c>
      <c r="K63" s="63">
        <f>IF(TournamentData[[#This Row],[Team Number]]="","",_xlfn.XLOOKUP(TournamentData[[#This Row],[Team Number]],InnovationProjectResults[Team Number],InnovationProjectResults[Innovation Project Rank],NumberOfTeams+1,0,))</f>
        <v>1</v>
      </c>
      <c r="L63" s="63">
        <f>IF(TournamentData[[#This Row],[Team Number]]="","",_xlfn.XLOOKUP(TournamentData[[#This Row],[Team Number]],RobotDesignResults[Team Number],RobotDesignResults[Robot Design Rank],NumberOfTeams+1,0,))</f>
        <v>1</v>
      </c>
      <c r="M63"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63" s="64">
        <f>IF(TournamentData[[#This Row],[Team Number]]="","",IF(M63,RANK(M63,M$3:M$202,1)-COUNTIF(M$3:M$202,0),NumberOfTeams+1))</f>
        <v>1</v>
      </c>
      <c r="O63" s="70">
        <f>_xlfn.XLOOKUP(TournamentData[[#This Row],[Team Number]],CoreValuesResults[Team Number],CoreValuesResults[Breakthrough Selection],0,0,)</f>
        <v>0</v>
      </c>
      <c r="P63" s="70">
        <f>_xlfn.XLOOKUP(TournamentData[[#This Row],[Team Number]],CoreValuesResults[Team Number],CoreValuesResults[Rising All-Star Selection],0,0,)</f>
        <v>0</v>
      </c>
      <c r="Q63" s="70">
        <f>_xlfn.XLOOKUP(TournamentData[[#This Row],[Team Number]],CoreValuesResults[Team Number],CoreValuesResults[Motivate Selection],0,0,)</f>
        <v>0</v>
      </c>
      <c r="R63" s="66"/>
      <c r="S63" s="66"/>
      <c r="T63" s="67"/>
      <c r="U63" s="63">
        <f>_xlfn.XLOOKUP(TournamentData[[#This Row],[Team Number]],CoreValuesResults[Team Number],CoreValuesResults[Core Values Score],0,0,)</f>
        <v>0</v>
      </c>
      <c r="V63" s="63">
        <f>_xlfn.XLOOKUP(TournamentData[[#This Row],[Team Number]],InnovationProjectResults[Team Number],InnovationProjectResults[Innovation Project Score],0,0,)</f>
        <v>0</v>
      </c>
      <c r="W63" s="63">
        <f>_xlfn.XLOOKUP(TournamentData[[#This Row],[Team Number]],RobotDesignResults[Team Number],RobotDesignResults[Robot Design Score],0,0,)</f>
        <v>0</v>
      </c>
      <c r="X63"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63" s="69">
        <f t="shared" si="1"/>
        <v>0</v>
      </c>
      <c r="Z63" s="66"/>
    </row>
    <row r="64" spans="1:26" ht="21" customHeight="1" x14ac:dyDescent="0.45">
      <c r="A64">
        <f>_xlfn.XLOOKUP(62,OfficialTeamList[Row],OfficialTeamList[Team Number],"ERROR",0)</f>
        <v>0</v>
      </c>
      <c r="B64" s="62" t="str">
        <f>_xlfn.XLOOKUP(TournamentData[[#This Row],[Team Number]],OfficialTeamList[Team Number],OfficialTeamList[Team Name],"",0,)</f>
        <v/>
      </c>
      <c r="C64" s="63">
        <f>IF(TournamentData[[#This Row],[Team Number]]="","",_xlfn.XLOOKUP(TournamentData[[#This Row],[Team Number]],RobotGameScores[Team Number],RobotGameScores[Robot Game 1 Score],0,0,))</f>
        <v>0</v>
      </c>
      <c r="D64" s="63">
        <f>IF(TournamentData[[#This Row],[Team Number]]="","",_xlfn.XLOOKUP(TournamentData[[#This Row],[Team Number]],RobotGameScores[Team Number],RobotGameScores[Robot Game 2 Score],0,0,))</f>
        <v>0</v>
      </c>
      <c r="E64" s="63">
        <f>IF(TournamentData[[#This Row],[Team Number]]="","",_xlfn.XLOOKUP(TournamentData[[#This Row],[Team Number]],RobotGameScores[Team Number],RobotGameScores[Robot Game 3 Score],0,0,))</f>
        <v>0</v>
      </c>
      <c r="F64" s="63">
        <f>IF(TournamentData[[#This Row],[Team Number]]="","",_xlfn.XLOOKUP(TournamentData[[#This Row],[Team Number]],RobotGameScores[Team Number],RobotGameScores[Robot Game 4 Score],0,0,))</f>
        <v>0</v>
      </c>
      <c r="G64" s="63">
        <f>IF(TournamentData[[#This Row],[Team Number]]="","",_xlfn.XLOOKUP(TournamentData[[#This Row],[Team Number]],RobotGameScores[Team Number],RobotGameScores[Robot Game 5 Score],0,0,))</f>
        <v>0</v>
      </c>
      <c r="H64"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64" s="63">
        <f>IF(TournamentData[[#This Row],[Team Number]]="","",_xlfn.RANK.EQ(TournamentData[[#This Row],[Max Robot Game Score]],TournamentData[Max Robot Game Score]))</f>
        <v>1</v>
      </c>
      <c r="J64" s="63">
        <f>IF(TournamentData[[#This Row],[Team Number]]="","",_xlfn.XLOOKUP(TournamentData[[#This Row],[Team Number]],CoreValuesResults[Team Number],CoreValuesResults[Core Values Rank],NumberOfTeams+1,0,))</f>
        <v>1</v>
      </c>
      <c r="K64" s="63">
        <f>IF(TournamentData[[#This Row],[Team Number]]="","",_xlfn.XLOOKUP(TournamentData[[#This Row],[Team Number]],InnovationProjectResults[Team Number],InnovationProjectResults[Innovation Project Rank],NumberOfTeams+1,0,))</f>
        <v>1</v>
      </c>
      <c r="L64" s="63">
        <f>IF(TournamentData[[#This Row],[Team Number]]="","",_xlfn.XLOOKUP(TournamentData[[#This Row],[Team Number]],RobotDesignResults[Team Number],RobotDesignResults[Robot Design Rank],NumberOfTeams+1,0,))</f>
        <v>1</v>
      </c>
      <c r="M64"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64" s="64">
        <f>IF(TournamentData[[#This Row],[Team Number]]="","",IF(M64,RANK(M64,M$3:M$202,1)-COUNTIF(M$3:M$202,0),NumberOfTeams+1))</f>
        <v>1</v>
      </c>
      <c r="O64" s="70">
        <f>_xlfn.XLOOKUP(TournamentData[[#This Row],[Team Number]],CoreValuesResults[Team Number],CoreValuesResults[Breakthrough Selection],0,0,)</f>
        <v>0</v>
      </c>
      <c r="P64" s="70">
        <f>_xlfn.XLOOKUP(TournamentData[[#This Row],[Team Number]],CoreValuesResults[Team Number],CoreValuesResults[Rising All-Star Selection],0,0,)</f>
        <v>0</v>
      </c>
      <c r="Q64" s="70">
        <f>_xlfn.XLOOKUP(TournamentData[[#This Row],[Team Number]],CoreValuesResults[Team Number],CoreValuesResults[Motivate Selection],0,0,)</f>
        <v>0</v>
      </c>
      <c r="R64" s="66"/>
      <c r="S64" s="66"/>
      <c r="T64" s="67"/>
      <c r="U64" s="63">
        <f>_xlfn.XLOOKUP(TournamentData[[#This Row],[Team Number]],CoreValuesResults[Team Number],CoreValuesResults[Core Values Score],0,0,)</f>
        <v>0</v>
      </c>
      <c r="V64" s="63">
        <f>_xlfn.XLOOKUP(TournamentData[[#This Row],[Team Number]],InnovationProjectResults[Team Number],InnovationProjectResults[Innovation Project Score],0,0,)</f>
        <v>0</v>
      </c>
      <c r="W64" s="63">
        <f>_xlfn.XLOOKUP(TournamentData[[#This Row],[Team Number]],RobotDesignResults[Team Number],RobotDesignResults[Robot Design Score],0,0,)</f>
        <v>0</v>
      </c>
      <c r="X64"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64" s="69">
        <f t="shared" si="1"/>
        <v>0</v>
      </c>
      <c r="Z64" s="66"/>
    </row>
    <row r="65" spans="1:26" ht="21" customHeight="1" x14ac:dyDescent="0.45">
      <c r="A65">
        <f>_xlfn.XLOOKUP(63,OfficialTeamList[Row],OfficialTeamList[Team Number],"ERROR",0)</f>
        <v>0</v>
      </c>
      <c r="B65" s="62" t="str">
        <f>_xlfn.XLOOKUP(TournamentData[[#This Row],[Team Number]],OfficialTeamList[Team Number],OfficialTeamList[Team Name],"",0,)</f>
        <v/>
      </c>
      <c r="C65" s="63">
        <f>IF(TournamentData[[#This Row],[Team Number]]="","",_xlfn.XLOOKUP(TournamentData[[#This Row],[Team Number]],RobotGameScores[Team Number],RobotGameScores[Robot Game 1 Score],0,0,))</f>
        <v>0</v>
      </c>
      <c r="D65" s="63">
        <f>IF(TournamentData[[#This Row],[Team Number]]="","",_xlfn.XLOOKUP(TournamentData[[#This Row],[Team Number]],RobotGameScores[Team Number],RobotGameScores[Robot Game 2 Score],0,0,))</f>
        <v>0</v>
      </c>
      <c r="E65" s="63">
        <f>IF(TournamentData[[#This Row],[Team Number]]="","",_xlfn.XLOOKUP(TournamentData[[#This Row],[Team Number]],RobotGameScores[Team Number],RobotGameScores[Robot Game 3 Score],0,0,))</f>
        <v>0</v>
      </c>
      <c r="F65" s="63">
        <f>IF(TournamentData[[#This Row],[Team Number]]="","",_xlfn.XLOOKUP(TournamentData[[#This Row],[Team Number]],RobotGameScores[Team Number],RobotGameScores[Robot Game 4 Score],0,0,))</f>
        <v>0</v>
      </c>
      <c r="G65" s="63">
        <f>IF(TournamentData[[#This Row],[Team Number]]="","",_xlfn.XLOOKUP(TournamentData[[#This Row],[Team Number]],RobotGameScores[Team Number],RobotGameScores[Robot Game 5 Score],0,0,))</f>
        <v>0</v>
      </c>
      <c r="H65"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65" s="63">
        <f>IF(TournamentData[[#This Row],[Team Number]]="","",_xlfn.RANK.EQ(TournamentData[[#This Row],[Max Robot Game Score]],TournamentData[Max Robot Game Score]))</f>
        <v>1</v>
      </c>
      <c r="J65" s="63">
        <f>IF(TournamentData[[#This Row],[Team Number]]="","",_xlfn.XLOOKUP(TournamentData[[#This Row],[Team Number]],CoreValuesResults[Team Number],CoreValuesResults[Core Values Rank],NumberOfTeams+1,0,))</f>
        <v>1</v>
      </c>
      <c r="K65" s="63">
        <f>IF(TournamentData[[#This Row],[Team Number]]="","",_xlfn.XLOOKUP(TournamentData[[#This Row],[Team Number]],InnovationProjectResults[Team Number],InnovationProjectResults[Innovation Project Rank],NumberOfTeams+1,0,))</f>
        <v>1</v>
      </c>
      <c r="L65" s="63">
        <f>IF(TournamentData[[#This Row],[Team Number]]="","",_xlfn.XLOOKUP(TournamentData[[#This Row],[Team Number]],RobotDesignResults[Team Number],RobotDesignResults[Robot Design Rank],NumberOfTeams+1,0,))</f>
        <v>1</v>
      </c>
      <c r="M65"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65" s="64">
        <f>IF(TournamentData[[#This Row],[Team Number]]="","",IF(M65,RANK(M65,M$3:M$202,1)-COUNTIF(M$3:M$202,0),NumberOfTeams+1))</f>
        <v>1</v>
      </c>
      <c r="O65" s="70">
        <f>_xlfn.XLOOKUP(TournamentData[[#This Row],[Team Number]],CoreValuesResults[Team Number],CoreValuesResults[Breakthrough Selection],0,0,)</f>
        <v>0</v>
      </c>
      <c r="P65" s="70">
        <f>_xlfn.XLOOKUP(TournamentData[[#This Row],[Team Number]],CoreValuesResults[Team Number],CoreValuesResults[Rising All-Star Selection],0,0,)</f>
        <v>0</v>
      </c>
      <c r="Q65" s="70">
        <f>_xlfn.XLOOKUP(TournamentData[[#This Row],[Team Number]],CoreValuesResults[Team Number],CoreValuesResults[Motivate Selection],0,0,)</f>
        <v>0</v>
      </c>
      <c r="R65" s="66"/>
      <c r="S65" s="66"/>
      <c r="T65" s="67"/>
      <c r="U65" s="63">
        <f>_xlfn.XLOOKUP(TournamentData[[#This Row],[Team Number]],CoreValuesResults[Team Number],CoreValuesResults[Core Values Score],0,0,)</f>
        <v>0</v>
      </c>
      <c r="V65" s="63">
        <f>_xlfn.XLOOKUP(TournamentData[[#This Row],[Team Number]],InnovationProjectResults[Team Number],InnovationProjectResults[Innovation Project Score],0,0,)</f>
        <v>0</v>
      </c>
      <c r="W65" s="63">
        <f>_xlfn.XLOOKUP(TournamentData[[#This Row],[Team Number]],RobotDesignResults[Team Number],RobotDesignResults[Robot Design Score],0,0,)</f>
        <v>0</v>
      </c>
      <c r="X65"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65" s="69">
        <f t="shared" si="1"/>
        <v>0</v>
      </c>
      <c r="Z65" s="66"/>
    </row>
    <row r="66" spans="1:26" ht="21" customHeight="1" x14ac:dyDescent="0.45">
      <c r="A66">
        <f>_xlfn.XLOOKUP(64,OfficialTeamList[Row],OfficialTeamList[Team Number],"ERROR",0)</f>
        <v>0</v>
      </c>
      <c r="B66" s="62" t="str">
        <f>_xlfn.XLOOKUP(TournamentData[[#This Row],[Team Number]],OfficialTeamList[Team Number],OfficialTeamList[Team Name],"",0,)</f>
        <v/>
      </c>
      <c r="C66" s="63">
        <f>IF(TournamentData[[#This Row],[Team Number]]="","",_xlfn.XLOOKUP(TournamentData[[#This Row],[Team Number]],RobotGameScores[Team Number],RobotGameScores[Robot Game 1 Score],0,0,))</f>
        <v>0</v>
      </c>
      <c r="D66" s="63">
        <f>IF(TournamentData[[#This Row],[Team Number]]="","",_xlfn.XLOOKUP(TournamentData[[#This Row],[Team Number]],RobotGameScores[Team Number],RobotGameScores[Robot Game 2 Score],0,0,))</f>
        <v>0</v>
      </c>
      <c r="E66" s="63">
        <f>IF(TournamentData[[#This Row],[Team Number]]="","",_xlfn.XLOOKUP(TournamentData[[#This Row],[Team Number]],RobotGameScores[Team Number],RobotGameScores[Robot Game 3 Score],0,0,))</f>
        <v>0</v>
      </c>
      <c r="F66" s="63">
        <f>IF(TournamentData[[#This Row],[Team Number]]="","",_xlfn.XLOOKUP(TournamentData[[#This Row],[Team Number]],RobotGameScores[Team Number],RobotGameScores[Robot Game 4 Score],0,0,))</f>
        <v>0</v>
      </c>
      <c r="G66" s="63">
        <f>IF(TournamentData[[#This Row],[Team Number]]="","",_xlfn.XLOOKUP(TournamentData[[#This Row],[Team Number]],RobotGameScores[Team Number],RobotGameScores[Robot Game 5 Score],0,0,))</f>
        <v>0</v>
      </c>
      <c r="H66"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66" s="63">
        <f>IF(TournamentData[[#This Row],[Team Number]]="","",_xlfn.RANK.EQ(TournamentData[[#This Row],[Max Robot Game Score]],TournamentData[Max Robot Game Score]))</f>
        <v>1</v>
      </c>
      <c r="J66" s="63">
        <f>IF(TournamentData[[#This Row],[Team Number]]="","",_xlfn.XLOOKUP(TournamentData[[#This Row],[Team Number]],CoreValuesResults[Team Number],CoreValuesResults[Core Values Rank],NumberOfTeams+1,0,))</f>
        <v>1</v>
      </c>
      <c r="K66" s="63">
        <f>IF(TournamentData[[#This Row],[Team Number]]="","",_xlfn.XLOOKUP(TournamentData[[#This Row],[Team Number]],InnovationProjectResults[Team Number],InnovationProjectResults[Innovation Project Rank],NumberOfTeams+1,0,))</f>
        <v>1</v>
      </c>
      <c r="L66" s="63">
        <f>IF(TournamentData[[#This Row],[Team Number]]="","",_xlfn.XLOOKUP(TournamentData[[#This Row],[Team Number]],RobotDesignResults[Team Number],RobotDesignResults[Robot Design Rank],NumberOfTeams+1,0,))</f>
        <v>1</v>
      </c>
      <c r="M66"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66" s="64">
        <f>IF(TournamentData[[#This Row],[Team Number]]="","",IF(M66,RANK(M66,M$3:M$202,1)-COUNTIF(M$3:M$202,0),NumberOfTeams+1))</f>
        <v>1</v>
      </c>
      <c r="O66" s="70">
        <f>_xlfn.XLOOKUP(TournamentData[[#This Row],[Team Number]],CoreValuesResults[Team Number],CoreValuesResults[Breakthrough Selection],0,0,)</f>
        <v>0</v>
      </c>
      <c r="P66" s="70">
        <f>_xlfn.XLOOKUP(TournamentData[[#This Row],[Team Number]],CoreValuesResults[Team Number],CoreValuesResults[Rising All-Star Selection],0,0,)</f>
        <v>0</v>
      </c>
      <c r="Q66" s="70">
        <f>_xlfn.XLOOKUP(TournamentData[[#This Row],[Team Number]],CoreValuesResults[Team Number],CoreValuesResults[Motivate Selection],0,0,)</f>
        <v>0</v>
      </c>
      <c r="R66" s="66"/>
      <c r="S66" s="66"/>
      <c r="T66" s="67"/>
      <c r="U66" s="63">
        <f>_xlfn.XLOOKUP(TournamentData[[#This Row],[Team Number]],CoreValuesResults[Team Number],CoreValuesResults[Core Values Score],0,0,)</f>
        <v>0</v>
      </c>
      <c r="V66" s="63">
        <f>_xlfn.XLOOKUP(TournamentData[[#This Row],[Team Number]],InnovationProjectResults[Team Number],InnovationProjectResults[Innovation Project Score],0,0,)</f>
        <v>0</v>
      </c>
      <c r="W66" s="63">
        <f>_xlfn.XLOOKUP(TournamentData[[#This Row],[Team Number]],RobotDesignResults[Team Number],RobotDesignResults[Robot Design Score],0,0,)</f>
        <v>0</v>
      </c>
      <c r="X66"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66" s="69">
        <f t="shared" si="1"/>
        <v>0</v>
      </c>
      <c r="Z66" s="66"/>
    </row>
    <row r="67" spans="1:26" ht="21" customHeight="1" x14ac:dyDescent="0.45">
      <c r="A67">
        <f>_xlfn.XLOOKUP(65,OfficialTeamList[Row],OfficialTeamList[Team Number],"ERROR",0)</f>
        <v>0</v>
      </c>
      <c r="B67" s="62" t="str">
        <f>_xlfn.XLOOKUP(TournamentData[[#This Row],[Team Number]],OfficialTeamList[Team Number],OfficialTeamList[Team Name],"",0,)</f>
        <v/>
      </c>
      <c r="C67" s="63">
        <f>IF(TournamentData[[#This Row],[Team Number]]="","",_xlfn.XLOOKUP(TournamentData[[#This Row],[Team Number]],RobotGameScores[Team Number],RobotGameScores[Robot Game 1 Score],0,0,))</f>
        <v>0</v>
      </c>
      <c r="D67" s="63">
        <f>IF(TournamentData[[#This Row],[Team Number]]="","",_xlfn.XLOOKUP(TournamentData[[#This Row],[Team Number]],RobotGameScores[Team Number],RobotGameScores[Robot Game 2 Score],0,0,))</f>
        <v>0</v>
      </c>
      <c r="E67" s="63">
        <f>IF(TournamentData[[#This Row],[Team Number]]="","",_xlfn.XLOOKUP(TournamentData[[#This Row],[Team Number]],RobotGameScores[Team Number],RobotGameScores[Robot Game 3 Score],0,0,))</f>
        <v>0</v>
      </c>
      <c r="F67" s="63">
        <f>IF(TournamentData[[#This Row],[Team Number]]="","",_xlfn.XLOOKUP(TournamentData[[#This Row],[Team Number]],RobotGameScores[Team Number],RobotGameScores[Robot Game 4 Score],0,0,))</f>
        <v>0</v>
      </c>
      <c r="G67" s="63">
        <f>IF(TournamentData[[#This Row],[Team Number]]="","",_xlfn.XLOOKUP(TournamentData[[#This Row],[Team Number]],RobotGameScores[Team Number],RobotGameScores[Robot Game 5 Score],0,0,))</f>
        <v>0</v>
      </c>
      <c r="H67"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67" s="63">
        <f>IF(TournamentData[[#This Row],[Team Number]]="","",_xlfn.RANK.EQ(TournamentData[[#This Row],[Max Robot Game Score]],TournamentData[Max Robot Game Score]))</f>
        <v>1</v>
      </c>
      <c r="J67" s="63">
        <f>IF(TournamentData[[#This Row],[Team Number]]="","",_xlfn.XLOOKUP(TournamentData[[#This Row],[Team Number]],CoreValuesResults[Team Number],CoreValuesResults[Core Values Rank],NumberOfTeams+1,0,))</f>
        <v>1</v>
      </c>
      <c r="K67" s="63">
        <f>IF(TournamentData[[#This Row],[Team Number]]="","",_xlfn.XLOOKUP(TournamentData[[#This Row],[Team Number]],InnovationProjectResults[Team Number],InnovationProjectResults[Innovation Project Rank],NumberOfTeams+1,0,))</f>
        <v>1</v>
      </c>
      <c r="L67" s="63">
        <f>IF(TournamentData[[#This Row],[Team Number]]="","",_xlfn.XLOOKUP(TournamentData[[#This Row],[Team Number]],RobotDesignResults[Team Number],RobotDesignResults[Robot Design Rank],NumberOfTeams+1,0,))</f>
        <v>1</v>
      </c>
      <c r="M67"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67" s="64">
        <f>IF(TournamentData[[#This Row],[Team Number]]="","",IF(M67,RANK(M67,M$3:M$202,1)-COUNTIF(M$3:M$202,0),NumberOfTeams+1))</f>
        <v>1</v>
      </c>
      <c r="O67" s="70">
        <f>_xlfn.XLOOKUP(TournamentData[[#This Row],[Team Number]],CoreValuesResults[Team Number],CoreValuesResults[Breakthrough Selection],0,0,)</f>
        <v>0</v>
      </c>
      <c r="P67" s="70">
        <f>_xlfn.XLOOKUP(TournamentData[[#This Row],[Team Number]],CoreValuesResults[Team Number],CoreValuesResults[Rising All-Star Selection],0,0,)</f>
        <v>0</v>
      </c>
      <c r="Q67" s="70">
        <f>_xlfn.XLOOKUP(TournamentData[[#This Row],[Team Number]],CoreValuesResults[Team Number],CoreValuesResults[Motivate Selection],0,0,)</f>
        <v>0</v>
      </c>
      <c r="R67" s="66"/>
      <c r="S67" s="66"/>
      <c r="T67" s="67"/>
      <c r="U67" s="63">
        <f>_xlfn.XLOOKUP(TournamentData[[#This Row],[Team Number]],CoreValuesResults[Team Number],CoreValuesResults[Core Values Score],0,0,)</f>
        <v>0</v>
      </c>
      <c r="V67" s="63">
        <f>_xlfn.XLOOKUP(TournamentData[[#This Row],[Team Number]],InnovationProjectResults[Team Number],InnovationProjectResults[Innovation Project Score],0,0,)</f>
        <v>0</v>
      </c>
      <c r="W67" s="63">
        <f>_xlfn.XLOOKUP(TournamentData[[#This Row],[Team Number]],RobotDesignResults[Team Number],RobotDesignResults[Robot Design Score],0,0,)</f>
        <v>0</v>
      </c>
      <c r="X67"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67" s="69">
        <f t="shared" ref="Y67:Y98" si="2">IF(X67,_xlfn.RANK.EQ(X67,X$3:X$110,0),NumberOfTeams)</f>
        <v>0</v>
      </c>
      <c r="Z67" s="66"/>
    </row>
    <row r="68" spans="1:26" ht="21" customHeight="1" x14ac:dyDescent="0.45">
      <c r="A68">
        <f>_xlfn.XLOOKUP(66,OfficialTeamList[Row],OfficialTeamList[Team Number],"ERROR",0)</f>
        <v>0</v>
      </c>
      <c r="B68" s="62" t="str">
        <f>_xlfn.XLOOKUP(TournamentData[[#This Row],[Team Number]],OfficialTeamList[Team Number],OfficialTeamList[Team Name],"",0,)</f>
        <v/>
      </c>
      <c r="C68" s="63">
        <f>IF(TournamentData[[#This Row],[Team Number]]="","",_xlfn.XLOOKUP(TournamentData[[#This Row],[Team Number]],RobotGameScores[Team Number],RobotGameScores[Robot Game 1 Score],0,0,))</f>
        <v>0</v>
      </c>
      <c r="D68" s="63">
        <f>IF(TournamentData[[#This Row],[Team Number]]="","",_xlfn.XLOOKUP(TournamentData[[#This Row],[Team Number]],RobotGameScores[Team Number],RobotGameScores[Robot Game 2 Score],0,0,))</f>
        <v>0</v>
      </c>
      <c r="E68" s="63">
        <f>IF(TournamentData[[#This Row],[Team Number]]="","",_xlfn.XLOOKUP(TournamentData[[#This Row],[Team Number]],RobotGameScores[Team Number],RobotGameScores[Robot Game 3 Score],0,0,))</f>
        <v>0</v>
      </c>
      <c r="F68" s="63">
        <f>IF(TournamentData[[#This Row],[Team Number]]="","",_xlfn.XLOOKUP(TournamentData[[#This Row],[Team Number]],RobotGameScores[Team Number],RobotGameScores[Robot Game 4 Score],0,0,))</f>
        <v>0</v>
      </c>
      <c r="G68" s="63">
        <f>IF(TournamentData[[#This Row],[Team Number]]="","",_xlfn.XLOOKUP(TournamentData[[#This Row],[Team Number]],RobotGameScores[Team Number],RobotGameScores[Robot Game 5 Score],0,0,))</f>
        <v>0</v>
      </c>
      <c r="H68"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68" s="63">
        <f>IF(TournamentData[[#This Row],[Team Number]]="","",_xlfn.RANK.EQ(TournamentData[[#This Row],[Max Robot Game Score]],TournamentData[Max Robot Game Score]))</f>
        <v>1</v>
      </c>
      <c r="J68" s="63">
        <f>IF(TournamentData[[#This Row],[Team Number]]="","",_xlfn.XLOOKUP(TournamentData[[#This Row],[Team Number]],CoreValuesResults[Team Number],CoreValuesResults[Core Values Rank],NumberOfTeams+1,0,))</f>
        <v>1</v>
      </c>
      <c r="K68" s="63">
        <f>IF(TournamentData[[#This Row],[Team Number]]="","",_xlfn.XLOOKUP(TournamentData[[#This Row],[Team Number]],InnovationProjectResults[Team Number],InnovationProjectResults[Innovation Project Rank],NumberOfTeams+1,0,))</f>
        <v>1</v>
      </c>
      <c r="L68" s="63">
        <f>IF(TournamentData[[#This Row],[Team Number]]="","",_xlfn.XLOOKUP(TournamentData[[#This Row],[Team Number]],RobotDesignResults[Team Number],RobotDesignResults[Robot Design Rank],NumberOfTeams+1,0,))</f>
        <v>1</v>
      </c>
      <c r="M68"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68" s="64">
        <f>IF(TournamentData[[#This Row],[Team Number]]="","",IF(M68,RANK(M68,M$3:M$202,1)-COUNTIF(M$3:M$202,0),NumberOfTeams+1))</f>
        <v>1</v>
      </c>
      <c r="O68" s="70">
        <f>_xlfn.XLOOKUP(TournamentData[[#This Row],[Team Number]],CoreValuesResults[Team Number],CoreValuesResults[Breakthrough Selection],0,0,)</f>
        <v>0</v>
      </c>
      <c r="P68" s="70">
        <f>_xlfn.XLOOKUP(TournamentData[[#This Row],[Team Number]],CoreValuesResults[Team Number],CoreValuesResults[Rising All-Star Selection],0,0,)</f>
        <v>0</v>
      </c>
      <c r="Q68" s="70">
        <f>_xlfn.XLOOKUP(TournamentData[[#This Row],[Team Number]],CoreValuesResults[Team Number],CoreValuesResults[Motivate Selection],0,0,)</f>
        <v>0</v>
      </c>
      <c r="R68" s="66"/>
      <c r="S68" s="66"/>
      <c r="T68" s="67"/>
      <c r="U68" s="63">
        <f>_xlfn.XLOOKUP(TournamentData[[#This Row],[Team Number]],CoreValuesResults[Team Number],CoreValuesResults[Core Values Score],0,0,)</f>
        <v>0</v>
      </c>
      <c r="V68" s="63">
        <f>_xlfn.XLOOKUP(TournamentData[[#This Row],[Team Number]],InnovationProjectResults[Team Number],InnovationProjectResults[Innovation Project Score],0,0,)</f>
        <v>0</v>
      </c>
      <c r="W68" s="63">
        <f>_xlfn.XLOOKUP(TournamentData[[#This Row],[Team Number]],RobotDesignResults[Team Number],RobotDesignResults[Robot Design Score],0,0,)</f>
        <v>0</v>
      </c>
      <c r="X68"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68" s="69">
        <f t="shared" si="2"/>
        <v>0</v>
      </c>
      <c r="Z68" s="66"/>
    </row>
    <row r="69" spans="1:26" ht="21" customHeight="1" x14ac:dyDescent="0.45">
      <c r="A69">
        <f>_xlfn.XLOOKUP(67,OfficialTeamList[Row],OfficialTeamList[Team Number],"ERROR",0)</f>
        <v>0</v>
      </c>
      <c r="B69" s="62" t="str">
        <f>_xlfn.XLOOKUP(TournamentData[[#This Row],[Team Number]],OfficialTeamList[Team Number],OfficialTeamList[Team Name],"",0,)</f>
        <v/>
      </c>
      <c r="C69" s="63">
        <f>IF(TournamentData[[#This Row],[Team Number]]="","",_xlfn.XLOOKUP(TournamentData[[#This Row],[Team Number]],RobotGameScores[Team Number],RobotGameScores[Robot Game 1 Score],0,0,))</f>
        <v>0</v>
      </c>
      <c r="D69" s="63">
        <f>IF(TournamentData[[#This Row],[Team Number]]="","",_xlfn.XLOOKUP(TournamentData[[#This Row],[Team Number]],RobotGameScores[Team Number],RobotGameScores[Robot Game 2 Score],0,0,))</f>
        <v>0</v>
      </c>
      <c r="E69" s="63">
        <f>IF(TournamentData[[#This Row],[Team Number]]="","",_xlfn.XLOOKUP(TournamentData[[#This Row],[Team Number]],RobotGameScores[Team Number],RobotGameScores[Robot Game 3 Score],0,0,))</f>
        <v>0</v>
      </c>
      <c r="F69" s="63">
        <f>IF(TournamentData[[#This Row],[Team Number]]="","",_xlfn.XLOOKUP(TournamentData[[#This Row],[Team Number]],RobotGameScores[Team Number],RobotGameScores[Robot Game 4 Score],0,0,))</f>
        <v>0</v>
      </c>
      <c r="G69" s="63">
        <f>IF(TournamentData[[#This Row],[Team Number]]="","",_xlfn.XLOOKUP(TournamentData[[#This Row],[Team Number]],RobotGameScores[Team Number],RobotGameScores[Robot Game 5 Score],0,0,))</f>
        <v>0</v>
      </c>
      <c r="H69"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69" s="63">
        <f>IF(TournamentData[[#This Row],[Team Number]]="","",_xlfn.RANK.EQ(TournamentData[[#This Row],[Max Robot Game Score]],TournamentData[Max Robot Game Score]))</f>
        <v>1</v>
      </c>
      <c r="J69" s="63">
        <f>IF(TournamentData[[#This Row],[Team Number]]="","",_xlfn.XLOOKUP(TournamentData[[#This Row],[Team Number]],CoreValuesResults[Team Number],CoreValuesResults[Core Values Rank],NumberOfTeams+1,0,))</f>
        <v>1</v>
      </c>
      <c r="K69" s="63">
        <f>IF(TournamentData[[#This Row],[Team Number]]="","",_xlfn.XLOOKUP(TournamentData[[#This Row],[Team Number]],InnovationProjectResults[Team Number],InnovationProjectResults[Innovation Project Rank],NumberOfTeams+1,0,))</f>
        <v>1</v>
      </c>
      <c r="L69" s="63">
        <f>IF(TournamentData[[#This Row],[Team Number]]="","",_xlfn.XLOOKUP(TournamentData[[#This Row],[Team Number]],RobotDesignResults[Team Number],RobotDesignResults[Robot Design Rank],NumberOfTeams+1,0,))</f>
        <v>1</v>
      </c>
      <c r="M69"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69" s="64">
        <f>IF(TournamentData[[#This Row],[Team Number]]="","",IF(M69,RANK(M69,M$3:M$202,1)-COUNTIF(M$3:M$202,0),NumberOfTeams+1))</f>
        <v>1</v>
      </c>
      <c r="O69" s="70">
        <f>_xlfn.XLOOKUP(TournamentData[[#This Row],[Team Number]],CoreValuesResults[Team Number],CoreValuesResults[Breakthrough Selection],0,0,)</f>
        <v>0</v>
      </c>
      <c r="P69" s="70">
        <f>_xlfn.XLOOKUP(TournamentData[[#This Row],[Team Number]],CoreValuesResults[Team Number],CoreValuesResults[Rising All-Star Selection],0,0,)</f>
        <v>0</v>
      </c>
      <c r="Q69" s="70">
        <f>_xlfn.XLOOKUP(TournamentData[[#This Row],[Team Number]],CoreValuesResults[Team Number],CoreValuesResults[Motivate Selection],0,0,)</f>
        <v>0</v>
      </c>
      <c r="R69" s="66"/>
      <c r="S69" s="66"/>
      <c r="T69" s="67"/>
      <c r="U69" s="63">
        <f>_xlfn.XLOOKUP(TournamentData[[#This Row],[Team Number]],CoreValuesResults[Team Number],CoreValuesResults[Core Values Score],0,0,)</f>
        <v>0</v>
      </c>
      <c r="V69" s="63">
        <f>_xlfn.XLOOKUP(TournamentData[[#This Row],[Team Number]],InnovationProjectResults[Team Number],InnovationProjectResults[Innovation Project Score],0,0,)</f>
        <v>0</v>
      </c>
      <c r="W69" s="63">
        <f>_xlfn.XLOOKUP(TournamentData[[#This Row],[Team Number]],RobotDesignResults[Team Number],RobotDesignResults[Robot Design Score],0,0,)</f>
        <v>0</v>
      </c>
      <c r="X69"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69" s="69">
        <f t="shared" si="2"/>
        <v>0</v>
      </c>
      <c r="Z69" s="66"/>
    </row>
    <row r="70" spans="1:26" ht="21" customHeight="1" x14ac:dyDescent="0.45">
      <c r="A70">
        <f>_xlfn.XLOOKUP(68,OfficialTeamList[Row],OfficialTeamList[Team Number],"ERROR",0)</f>
        <v>0</v>
      </c>
      <c r="B70" s="62" t="str">
        <f>_xlfn.XLOOKUP(TournamentData[[#This Row],[Team Number]],OfficialTeamList[Team Number],OfficialTeamList[Team Name],"",0,)</f>
        <v/>
      </c>
      <c r="C70" s="63">
        <f>IF(TournamentData[[#This Row],[Team Number]]="","",_xlfn.XLOOKUP(TournamentData[[#This Row],[Team Number]],RobotGameScores[Team Number],RobotGameScores[Robot Game 1 Score],0,0,))</f>
        <v>0</v>
      </c>
      <c r="D70" s="63">
        <f>IF(TournamentData[[#This Row],[Team Number]]="","",_xlfn.XLOOKUP(TournamentData[[#This Row],[Team Number]],RobotGameScores[Team Number],RobotGameScores[Robot Game 2 Score],0,0,))</f>
        <v>0</v>
      </c>
      <c r="E70" s="63">
        <f>IF(TournamentData[[#This Row],[Team Number]]="","",_xlfn.XLOOKUP(TournamentData[[#This Row],[Team Number]],RobotGameScores[Team Number],RobotGameScores[Robot Game 3 Score],0,0,))</f>
        <v>0</v>
      </c>
      <c r="F70" s="63">
        <f>IF(TournamentData[[#This Row],[Team Number]]="","",_xlfn.XLOOKUP(TournamentData[[#This Row],[Team Number]],RobotGameScores[Team Number],RobotGameScores[Robot Game 4 Score],0,0,))</f>
        <v>0</v>
      </c>
      <c r="G70" s="63">
        <f>IF(TournamentData[[#This Row],[Team Number]]="","",_xlfn.XLOOKUP(TournamentData[[#This Row],[Team Number]],RobotGameScores[Team Number],RobotGameScores[Robot Game 5 Score],0,0,))</f>
        <v>0</v>
      </c>
      <c r="H70"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70" s="63">
        <f>IF(TournamentData[[#This Row],[Team Number]]="","",_xlfn.RANK.EQ(TournamentData[[#This Row],[Max Robot Game Score]],TournamentData[Max Robot Game Score]))</f>
        <v>1</v>
      </c>
      <c r="J70" s="63">
        <f>IF(TournamentData[[#This Row],[Team Number]]="","",_xlfn.XLOOKUP(TournamentData[[#This Row],[Team Number]],CoreValuesResults[Team Number],CoreValuesResults[Core Values Rank],NumberOfTeams+1,0,))</f>
        <v>1</v>
      </c>
      <c r="K70" s="63">
        <f>IF(TournamentData[[#This Row],[Team Number]]="","",_xlfn.XLOOKUP(TournamentData[[#This Row],[Team Number]],InnovationProjectResults[Team Number],InnovationProjectResults[Innovation Project Rank],NumberOfTeams+1,0,))</f>
        <v>1</v>
      </c>
      <c r="L70" s="63">
        <f>IF(TournamentData[[#This Row],[Team Number]]="","",_xlfn.XLOOKUP(TournamentData[[#This Row],[Team Number]],RobotDesignResults[Team Number],RobotDesignResults[Robot Design Rank],NumberOfTeams+1,0,))</f>
        <v>1</v>
      </c>
      <c r="M70"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70" s="64">
        <f>IF(TournamentData[[#This Row],[Team Number]]="","",IF(M70,RANK(M70,M$3:M$202,1)-COUNTIF(M$3:M$202,0),NumberOfTeams+1))</f>
        <v>1</v>
      </c>
      <c r="O70" s="70">
        <f>_xlfn.XLOOKUP(TournamentData[[#This Row],[Team Number]],CoreValuesResults[Team Number],CoreValuesResults[Breakthrough Selection],0,0,)</f>
        <v>0</v>
      </c>
      <c r="P70" s="70">
        <f>_xlfn.XLOOKUP(TournamentData[[#This Row],[Team Number]],CoreValuesResults[Team Number],CoreValuesResults[Rising All-Star Selection],0,0,)</f>
        <v>0</v>
      </c>
      <c r="Q70" s="70">
        <f>_xlfn.XLOOKUP(TournamentData[[#This Row],[Team Number]],CoreValuesResults[Team Number],CoreValuesResults[Motivate Selection],0,0,)</f>
        <v>0</v>
      </c>
      <c r="R70" s="66"/>
      <c r="S70" s="66"/>
      <c r="T70" s="67"/>
      <c r="U70" s="63">
        <f>_xlfn.XLOOKUP(TournamentData[[#This Row],[Team Number]],CoreValuesResults[Team Number],CoreValuesResults[Core Values Score],0,0,)</f>
        <v>0</v>
      </c>
      <c r="V70" s="63">
        <f>_xlfn.XLOOKUP(TournamentData[[#This Row],[Team Number]],InnovationProjectResults[Team Number],InnovationProjectResults[Innovation Project Score],0,0,)</f>
        <v>0</v>
      </c>
      <c r="W70" s="63">
        <f>_xlfn.XLOOKUP(TournamentData[[#This Row],[Team Number]],RobotDesignResults[Team Number],RobotDesignResults[Robot Design Score],0,0,)</f>
        <v>0</v>
      </c>
      <c r="X70"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70" s="69">
        <f t="shared" si="2"/>
        <v>0</v>
      </c>
      <c r="Z70" s="66"/>
    </row>
    <row r="71" spans="1:26" ht="21" customHeight="1" x14ac:dyDescent="0.45">
      <c r="A71">
        <f>_xlfn.XLOOKUP(69,OfficialTeamList[Row],OfficialTeamList[Team Number],"ERROR",0)</f>
        <v>0</v>
      </c>
      <c r="B71" s="62" t="str">
        <f>_xlfn.XLOOKUP(TournamentData[[#This Row],[Team Number]],OfficialTeamList[Team Number],OfficialTeamList[Team Name],"",0,)</f>
        <v/>
      </c>
      <c r="C71" s="63">
        <f>IF(TournamentData[[#This Row],[Team Number]]="","",_xlfn.XLOOKUP(TournamentData[[#This Row],[Team Number]],RobotGameScores[Team Number],RobotGameScores[Robot Game 1 Score],0,0,))</f>
        <v>0</v>
      </c>
      <c r="D71" s="63">
        <f>IF(TournamentData[[#This Row],[Team Number]]="","",_xlfn.XLOOKUP(TournamentData[[#This Row],[Team Number]],RobotGameScores[Team Number],RobotGameScores[Robot Game 2 Score],0,0,))</f>
        <v>0</v>
      </c>
      <c r="E71" s="63">
        <f>IF(TournamentData[[#This Row],[Team Number]]="","",_xlfn.XLOOKUP(TournamentData[[#This Row],[Team Number]],RobotGameScores[Team Number],RobotGameScores[Robot Game 3 Score],0,0,))</f>
        <v>0</v>
      </c>
      <c r="F71" s="63">
        <f>IF(TournamentData[[#This Row],[Team Number]]="","",_xlfn.XLOOKUP(TournamentData[[#This Row],[Team Number]],RobotGameScores[Team Number],RobotGameScores[Robot Game 4 Score],0,0,))</f>
        <v>0</v>
      </c>
      <c r="G71" s="63">
        <f>IF(TournamentData[[#This Row],[Team Number]]="","",_xlfn.XLOOKUP(TournamentData[[#This Row],[Team Number]],RobotGameScores[Team Number],RobotGameScores[Robot Game 5 Score],0,0,))</f>
        <v>0</v>
      </c>
      <c r="H71"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71" s="63">
        <f>IF(TournamentData[[#This Row],[Team Number]]="","",_xlfn.RANK.EQ(TournamentData[[#This Row],[Max Robot Game Score]],TournamentData[Max Robot Game Score]))</f>
        <v>1</v>
      </c>
      <c r="J71" s="63">
        <f>IF(TournamentData[[#This Row],[Team Number]]="","",_xlfn.XLOOKUP(TournamentData[[#This Row],[Team Number]],CoreValuesResults[Team Number],CoreValuesResults[Core Values Rank],NumberOfTeams+1,0,))</f>
        <v>1</v>
      </c>
      <c r="K71" s="63">
        <f>IF(TournamentData[[#This Row],[Team Number]]="","",_xlfn.XLOOKUP(TournamentData[[#This Row],[Team Number]],InnovationProjectResults[Team Number],InnovationProjectResults[Innovation Project Rank],NumberOfTeams+1,0,))</f>
        <v>1</v>
      </c>
      <c r="L71" s="63">
        <f>IF(TournamentData[[#This Row],[Team Number]]="","",_xlfn.XLOOKUP(TournamentData[[#This Row],[Team Number]],RobotDesignResults[Team Number],RobotDesignResults[Robot Design Rank],NumberOfTeams+1,0,))</f>
        <v>1</v>
      </c>
      <c r="M71"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71" s="64">
        <f>IF(TournamentData[[#This Row],[Team Number]]="","",IF(M71,RANK(M71,M$3:M$202,1)-COUNTIF(M$3:M$202,0),NumberOfTeams+1))</f>
        <v>1</v>
      </c>
      <c r="O71" s="70">
        <f>_xlfn.XLOOKUP(TournamentData[[#This Row],[Team Number]],CoreValuesResults[Team Number],CoreValuesResults[Breakthrough Selection],0,0,)</f>
        <v>0</v>
      </c>
      <c r="P71" s="70">
        <f>_xlfn.XLOOKUP(TournamentData[[#This Row],[Team Number]],CoreValuesResults[Team Number],CoreValuesResults[Rising All-Star Selection],0,0,)</f>
        <v>0</v>
      </c>
      <c r="Q71" s="70">
        <f>_xlfn.XLOOKUP(TournamentData[[#This Row],[Team Number]],CoreValuesResults[Team Number],CoreValuesResults[Motivate Selection],0,0,)</f>
        <v>0</v>
      </c>
      <c r="R71" s="66"/>
      <c r="S71" s="66"/>
      <c r="T71" s="67"/>
      <c r="U71" s="63">
        <f>_xlfn.XLOOKUP(TournamentData[[#This Row],[Team Number]],CoreValuesResults[Team Number],CoreValuesResults[Core Values Score],0,0,)</f>
        <v>0</v>
      </c>
      <c r="V71" s="63">
        <f>_xlfn.XLOOKUP(TournamentData[[#This Row],[Team Number]],InnovationProjectResults[Team Number],InnovationProjectResults[Innovation Project Score],0,0,)</f>
        <v>0</v>
      </c>
      <c r="W71" s="63">
        <f>_xlfn.XLOOKUP(TournamentData[[#This Row],[Team Number]],RobotDesignResults[Team Number],RobotDesignResults[Robot Design Score],0,0,)</f>
        <v>0</v>
      </c>
      <c r="X71"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71" s="69">
        <f t="shared" si="2"/>
        <v>0</v>
      </c>
      <c r="Z71" s="66"/>
    </row>
    <row r="72" spans="1:26" ht="21" customHeight="1" x14ac:dyDescent="0.45">
      <c r="A72">
        <f>_xlfn.XLOOKUP(70,OfficialTeamList[Row],OfficialTeamList[Team Number],"ERROR",0)</f>
        <v>0</v>
      </c>
      <c r="B72" s="62" t="str">
        <f>_xlfn.XLOOKUP(TournamentData[[#This Row],[Team Number]],OfficialTeamList[Team Number],OfficialTeamList[Team Name],"",0,)</f>
        <v/>
      </c>
      <c r="C72" s="63">
        <f>IF(TournamentData[[#This Row],[Team Number]]="","",_xlfn.XLOOKUP(TournamentData[[#This Row],[Team Number]],RobotGameScores[Team Number],RobotGameScores[Robot Game 1 Score],0,0,))</f>
        <v>0</v>
      </c>
      <c r="D72" s="63">
        <f>IF(TournamentData[[#This Row],[Team Number]]="","",_xlfn.XLOOKUP(TournamentData[[#This Row],[Team Number]],RobotGameScores[Team Number],RobotGameScores[Robot Game 2 Score],0,0,))</f>
        <v>0</v>
      </c>
      <c r="E72" s="63">
        <f>IF(TournamentData[[#This Row],[Team Number]]="","",_xlfn.XLOOKUP(TournamentData[[#This Row],[Team Number]],RobotGameScores[Team Number],RobotGameScores[Robot Game 3 Score],0,0,))</f>
        <v>0</v>
      </c>
      <c r="F72" s="63">
        <f>IF(TournamentData[[#This Row],[Team Number]]="","",_xlfn.XLOOKUP(TournamentData[[#This Row],[Team Number]],RobotGameScores[Team Number],RobotGameScores[Robot Game 4 Score],0,0,))</f>
        <v>0</v>
      </c>
      <c r="G72" s="63">
        <f>IF(TournamentData[[#This Row],[Team Number]]="","",_xlfn.XLOOKUP(TournamentData[[#This Row],[Team Number]],RobotGameScores[Team Number],RobotGameScores[Robot Game 5 Score],0,0,))</f>
        <v>0</v>
      </c>
      <c r="H72"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72" s="63">
        <f>IF(TournamentData[[#This Row],[Team Number]]="","",_xlfn.RANK.EQ(TournamentData[[#This Row],[Max Robot Game Score]],TournamentData[Max Robot Game Score]))</f>
        <v>1</v>
      </c>
      <c r="J72" s="63">
        <f>IF(TournamentData[[#This Row],[Team Number]]="","",_xlfn.XLOOKUP(TournamentData[[#This Row],[Team Number]],CoreValuesResults[Team Number],CoreValuesResults[Core Values Rank],NumberOfTeams+1,0,))</f>
        <v>1</v>
      </c>
      <c r="K72" s="63">
        <f>IF(TournamentData[[#This Row],[Team Number]]="","",_xlfn.XLOOKUP(TournamentData[[#This Row],[Team Number]],InnovationProjectResults[Team Number],InnovationProjectResults[Innovation Project Rank],NumberOfTeams+1,0,))</f>
        <v>1</v>
      </c>
      <c r="L72" s="63">
        <f>IF(TournamentData[[#This Row],[Team Number]]="","",_xlfn.XLOOKUP(TournamentData[[#This Row],[Team Number]],RobotDesignResults[Team Number],RobotDesignResults[Robot Design Rank],NumberOfTeams+1,0,))</f>
        <v>1</v>
      </c>
      <c r="M72"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72" s="64">
        <f>IF(TournamentData[[#This Row],[Team Number]]="","",IF(M72,RANK(M72,M$3:M$202,1)-COUNTIF(M$3:M$202,0),NumberOfTeams+1))</f>
        <v>1</v>
      </c>
      <c r="O72" s="70">
        <f>_xlfn.XLOOKUP(TournamentData[[#This Row],[Team Number]],CoreValuesResults[Team Number],CoreValuesResults[Breakthrough Selection],0,0,)</f>
        <v>0</v>
      </c>
      <c r="P72" s="70">
        <f>_xlfn.XLOOKUP(TournamentData[[#This Row],[Team Number]],CoreValuesResults[Team Number],CoreValuesResults[Rising All-Star Selection],0,0,)</f>
        <v>0</v>
      </c>
      <c r="Q72" s="70">
        <f>_xlfn.XLOOKUP(TournamentData[[#This Row],[Team Number]],CoreValuesResults[Team Number],CoreValuesResults[Motivate Selection],0,0,)</f>
        <v>0</v>
      </c>
      <c r="R72" s="66"/>
      <c r="S72" s="66"/>
      <c r="T72" s="67"/>
      <c r="U72" s="63">
        <f>_xlfn.XLOOKUP(TournamentData[[#This Row],[Team Number]],CoreValuesResults[Team Number],CoreValuesResults[Core Values Score],0,0,)</f>
        <v>0</v>
      </c>
      <c r="V72" s="63">
        <f>_xlfn.XLOOKUP(TournamentData[[#This Row],[Team Number]],InnovationProjectResults[Team Number],InnovationProjectResults[Innovation Project Score],0,0,)</f>
        <v>0</v>
      </c>
      <c r="W72" s="63">
        <f>_xlfn.XLOOKUP(TournamentData[[#This Row],[Team Number]],RobotDesignResults[Team Number],RobotDesignResults[Robot Design Score],0,0,)</f>
        <v>0</v>
      </c>
      <c r="X72"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72" s="69">
        <f t="shared" si="2"/>
        <v>0</v>
      </c>
      <c r="Z72" s="66"/>
    </row>
    <row r="73" spans="1:26" ht="21" customHeight="1" x14ac:dyDescent="0.45">
      <c r="A73">
        <f>_xlfn.XLOOKUP(71,OfficialTeamList[Row],OfficialTeamList[Team Number],"ERROR",0)</f>
        <v>0</v>
      </c>
      <c r="B73" s="62" t="str">
        <f>_xlfn.XLOOKUP(TournamentData[[#This Row],[Team Number]],OfficialTeamList[Team Number],OfficialTeamList[Team Name],"",0,)</f>
        <v/>
      </c>
      <c r="C73" s="63">
        <f>IF(TournamentData[[#This Row],[Team Number]]="","",_xlfn.XLOOKUP(TournamentData[[#This Row],[Team Number]],RobotGameScores[Team Number],RobotGameScores[Robot Game 1 Score],0,0,))</f>
        <v>0</v>
      </c>
      <c r="D73" s="63">
        <f>IF(TournamentData[[#This Row],[Team Number]]="","",_xlfn.XLOOKUP(TournamentData[[#This Row],[Team Number]],RobotGameScores[Team Number],RobotGameScores[Robot Game 2 Score],0,0,))</f>
        <v>0</v>
      </c>
      <c r="E73" s="63">
        <f>IF(TournamentData[[#This Row],[Team Number]]="","",_xlfn.XLOOKUP(TournamentData[[#This Row],[Team Number]],RobotGameScores[Team Number],RobotGameScores[Robot Game 3 Score],0,0,))</f>
        <v>0</v>
      </c>
      <c r="F73" s="63">
        <f>IF(TournamentData[[#This Row],[Team Number]]="","",_xlfn.XLOOKUP(TournamentData[[#This Row],[Team Number]],RobotGameScores[Team Number],RobotGameScores[Robot Game 4 Score],0,0,))</f>
        <v>0</v>
      </c>
      <c r="G73" s="63">
        <f>IF(TournamentData[[#This Row],[Team Number]]="","",_xlfn.XLOOKUP(TournamentData[[#This Row],[Team Number]],RobotGameScores[Team Number],RobotGameScores[Robot Game 5 Score],0,0,))</f>
        <v>0</v>
      </c>
      <c r="H73"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73" s="63">
        <f>IF(TournamentData[[#This Row],[Team Number]]="","",_xlfn.RANK.EQ(TournamentData[[#This Row],[Max Robot Game Score]],TournamentData[Max Robot Game Score]))</f>
        <v>1</v>
      </c>
      <c r="J73" s="63">
        <f>IF(TournamentData[[#This Row],[Team Number]]="","",_xlfn.XLOOKUP(TournamentData[[#This Row],[Team Number]],CoreValuesResults[Team Number],CoreValuesResults[Core Values Rank],NumberOfTeams+1,0,))</f>
        <v>1</v>
      </c>
      <c r="K73" s="63">
        <f>IF(TournamentData[[#This Row],[Team Number]]="","",_xlfn.XLOOKUP(TournamentData[[#This Row],[Team Number]],InnovationProjectResults[Team Number],InnovationProjectResults[Innovation Project Rank],NumberOfTeams+1,0,))</f>
        <v>1</v>
      </c>
      <c r="L73" s="63">
        <f>IF(TournamentData[[#This Row],[Team Number]]="","",_xlfn.XLOOKUP(TournamentData[[#This Row],[Team Number]],RobotDesignResults[Team Number],RobotDesignResults[Robot Design Rank],NumberOfTeams+1,0,))</f>
        <v>1</v>
      </c>
      <c r="M73"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73" s="64">
        <f>IF(TournamentData[[#This Row],[Team Number]]="","",IF(M73,RANK(M73,M$3:M$202,1)-COUNTIF(M$3:M$202,0),NumberOfTeams+1))</f>
        <v>1</v>
      </c>
      <c r="O73" s="70">
        <f>_xlfn.XLOOKUP(TournamentData[[#This Row],[Team Number]],CoreValuesResults[Team Number],CoreValuesResults[Breakthrough Selection],0,0,)</f>
        <v>0</v>
      </c>
      <c r="P73" s="70">
        <f>_xlfn.XLOOKUP(TournamentData[[#This Row],[Team Number]],CoreValuesResults[Team Number],CoreValuesResults[Rising All-Star Selection],0,0,)</f>
        <v>0</v>
      </c>
      <c r="Q73" s="70">
        <f>_xlfn.XLOOKUP(TournamentData[[#This Row],[Team Number]],CoreValuesResults[Team Number],CoreValuesResults[Motivate Selection],0,0,)</f>
        <v>0</v>
      </c>
      <c r="R73" s="66"/>
      <c r="S73" s="66"/>
      <c r="T73" s="67"/>
      <c r="U73" s="63">
        <f>_xlfn.XLOOKUP(TournamentData[[#This Row],[Team Number]],CoreValuesResults[Team Number],CoreValuesResults[Core Values Score],0,0,)</f>
        <v>0</v>
      </c>
      <c r="V73" s="63">
        <f>_xlfn.XLOOKUP(TournamentData[[#This Row],[Team Number]],InnovationProjectResults[Team Number],InnovationProjectResults[Innovation Project Score],0,0,)</f>
        <v>0</v>
      </c>
      <c r="W73" s="63">
        <f>_xlfn.XLOOKUP(TournamentData[[#This Row],[Team Number]],RobotDesignResults[Team Number],RobotDesignResults[Robot Design Score],0,0,)</f>
        <v>0</v>
      </c>
      <c r="X73"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73" s="69">
        <f t="shared" si="2"/>
        <v>0</v>
      </c>
      <c r="Z73" s="66"/>
    </row>
    <row r="74" spans="1:26" ht="21" customHeight="1" x14ac:dyDescent="0.45">
      <c r="A74">
        <f>_xlfn.XLOOKUP(72,OfficialTeamList[Row],OfficialTeamList[Team Number],"ERROR",0)</f>
        <v>0</v>
      </c>
      <c r="B74" s="62" t="str">
        <f>_xlfn.XLOOKUP(TournamentData[[#This Row],[Team Number]],OfficialTeamList[Team Number],OfficialTeamList[Team Name],"",0,)</f>
        <v/>
      </c>
      <c r="C74" s="63">
        <f>IF(TournamentData[[#This Row],[Team Number]]="","",_xlfn.XLOOKUP(TournamentData[[#This Row],[Team Number]],RobotGameScores[Team Number],RobotGameScores[Robot Game 1 Score],0,0,))</f>
        <v>0</v>
      </c>
      <c r="D74" s="63">
        <f>IF(TournamentData[[#This Row],[Team Number]]="","",_xlfn.XLOOKUP(TournamentData[[#This Row],[Team Number]],RobotGameScores[Team Number],RobotGameScores[Robot Game 2 Score],0,0,))</f>
        <v>0</v>
      </c>
      <c r="E74" s="63">
        <f>IF(TournamentData[[#This Row],[Team Number]]="","",_xlfn.XLOOKUP(TournamentData[[#This Row],[Team Number]],RobotGameScores[Team Number],RobotGameScores[Robot Game 3 Score],0,0,))</f>
        <v>0</v>
      </c>
      <c r="F74" s="63">
        <f>IF(TournamentData[[#This Row],[Team Number]]="","",_xlfn.XLOOKUP(TournamentData[[#This Row],[Team Number]],RobotGameScores[Team Number],RobotGameScores[Robot Game 4 Score],0,0,))</f>
        <v>0</v>
      </c>
      <c r="G74" s="63">
        <f>IF(TournamentData[[#This Row],[Team Number]]="","",_xlfn.XLOOKUP(TournamentData[[#This Row],[Team Number]],RobotGameScores[Team Number],RobotGameScores[Robot Game 5 Score],0,0,))</f>
        <v>0</v>
      </c>
      <c r="H74"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74" s="63">
        <f>IF(TournamentData[[#This Row],[Team Number]]="","",_xlfn.RANK.EQ(TournamentData[[#This Row],[Max Robot Game Score]],TournamentData[Max Robot Game Score]))</f>
        <v>1</v>
      </c>
      <c r="J74" s="63">
        <f>IF(TournamentData[[#This Row],[Team Number]]="","",_xlfn.XLOOKUP(TournamentData[[#This Row],[Team Number]],CoreValuesResults[Team Number],CoreValuesResults[Core Values Rank],NumberOfTeams+1,0,))</f>
        <v>1</v>
      </c>
      <c r="K74" s="63">
        <f>IF(TournamentData[[#This Row],[Team Number]]="","",_xlfn.XLOOKUP(TournamentData[[#This Row],[Team Number]],InnovationProjectResults[Team Number],InnovationProjectResults[Innovation Project Rank],NumberOfTeams+1,0,))</f>
        <v>1</v>
      </c>
      <c r="L74" s="63">
        <f>IF(TournamentData[[#This Row],[Team Number]]="","",_xlfn.XLOOKUP(TournamentData[[#This Row],[Team Number]],RobotDesignResults[Team Number],RobotDesignResults[Robot Design Rank],NumberOfTeams+1,0,))</f>
        <v>1</v>
      </c>
      <c r="M74"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74" s="64">
        <f>IF(TournamentData[[#This Row],[Team Number]]="","",IF(M74,RANK(M74,M$3:M$202,1)-COUNTIF(M$3:M$202,0),NumberOfTeams+1))</f>
        <v>1</v>
      </c>
      <c r="O74" s="70">
        <f>_xlfn.XLOOKUP(TournamentData[[#This Row],[Team Number]],CoreValuesResults[Team Number],CoreValuesResults[Breakthrough Selection],0,0,)</f>
        <v>0</v>
      </c>
      <c r="P74" s="70">
        <f>_xlfn.XLOOKUP(TournamentData[[#This Row],[Team Number]],CoreValuesResults[Team Number],CoreValuesResults[Rising All-Star Selection],0,0,)</f>
        <v>0</v>
      </c>
      <c r="Q74" s="70">
        <f>_xlfn.XLOOKUP(TournamentData[[#This Row],[Team Number]],CoreValuesResults[Team Number],CoreValuesResults[Motivate Selection],0,0,)</f>
        <v>0</v>
      </c>
      <c r="R74" s="66"/>
      <c r="S74" s="66"/>
      <c r="T74" s="67"/>
      <c r="U74" s="63">
        <f>_xlfn.XLOOKUP(TournamentData[[#This Row],[Team Number]],CoreValuesResults[Team Number],CoreValuesResults[Core Values Score],0,0,)</f>
        <v>0</v>
      </c>
      <c r="V74" s="63">
        <f>_xlfn.XLOOKUP(TournamentData[[#This Row],[Team Number]],InnovationProjectResults[Team Number],InnovationProjectResults[Innovation Project Score],0,0,)</f>
        <v>0</v>
      </c>
      <c r="W74" s="63">
        <f>_xlfn.XLOOKUP(TournamentData[[#This Row],[Team Number]],RobotDesignResults[Team Number],RobotDesignResults[Robot Design Score],0,0,)</f>
        <v>0</v>
      </c>
      <c r="X74"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74" s="69">
        <f t="shared" si="2"/>
        <v>0</v>
      </c>
      <c r="Z74" s="66"/>
    </row>
    <row r="75" spans="1:26" ht="21" customHeight="1" x14ac:dyDescent="0.45">
      <c r="A75">
        <f>_xlfn.XLOOKUP(73,OfficialTeamList[Row],OfficialTeamList[Team Number],"ERROR",0)</f>
        <v>0</v>
      </c>
      <c r="B75" s="62" t="str">
        <f>_xlfn.XLOOKUP(TournamentData[[#This Row],[Team Number]],OfficialTeamList[Team Number],OfficialTeamList[Team Name],"",0,)</f>
        <v/>
      </c>
      <c r="C75" s="63">
        <f>IF(TournamentData[[#This Row],[Team Number]]="","",_xlfn.XLOOKUP(TournamentData[[#This Row],[Team Number]],RobotGameScores[Team Number],RobotGameScores[Robot Game 1 Score],0,0,))</f>
        <v>0</v>
      </c>
      <c r="D75" s="63">
        <f>IF(TournamentData[[#This Row],[Team Number]]="","",_xlfn.XLOOKUP(TournamentData[[#This Row],[Team Number]],RobotGameScores[Team Number],RobotGameScores[Robot Game 2 Score],0,0,))</f>
        <v>0</v>
      </c>
      <c r="E75" s="63">
        <f>IF(TournamentData[[#This Row],[Team Number]]="","",_xlfn.XLOOKUP(TournamentData[[#This Row],[Team Number]],RobotGameScores[Team Number],RobotGameScores[Robot Game 3 Score],0,0,))</f>
        <v>0</v>
      </c>
      <c r="F75" s="63">
        <f>IF(TournamentData[[#This Row],[Team Number]]="","",_xlfn.XLOOKUP(TournamentData[[#This Row],[Team Number]],RobotGameScores[Team Number],RobotGameScores[Robot Game 4 Score],0,0,))</f>
        <v>0</v>
      </c>
      <c r="G75" s="63">
        <f>IF(TournamentData[[#This Row],[Team Number]]="","",_xlfn.XLOOKUP(TournamentData[[#This Row],[Team Number]],RobotGameScores[Team Number],RobotGameScores[Robot Game 5 Score],0,0,))</f>
        <v>0</v>
      </c>
      <c r="H75"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75" s="63">
        <f>IF(TournamentData[[#This Row],[Team Number]]="","",_xlfn.RANK.EQ(TournamentData[[#This Row],[Max Robot Game Score]],TournamentData[Max Robot Game Score]))</f>
        <v>1</v>
      </c>
      <c r="J75" s="63">
        <f>IF(TournamentData[[#This Row],[Team Number]]="","",_xlfn.XLOOKUP(TournamentData[[#This Row],[Team Number]],CoreValuesResults[Team Number],CoreValuesResults[Core Values Rank],NumberOfTeams+1,0,))</f>
        <v>1</v>
      </c>
      <c r="K75" s="63">
        <f>IF(TournamentData[[#This Row],[Team Number]]="","",_xlfn.XLOOKUP(TournamentData[[#This Row],[Team Number]],InnovationProjectResults[Team Number],InnovationProjectResults[Innovation Project Rank],NumberOfTeams+1,0,))</f>
        <v>1</v>
      </c>
      <c r="L75" s="63">
        <f>IF(TournamentData[[#This Row],[Team Number]]="","",_xlfn.XLOOKUP(TournamentData[[#This Row],[Team Number]],RobotDesignResults[Team Number],RobotDesignResults[Robot Design Rank],NumberOfTeams+1,0,))</f>
        <v>1</v>
      </c>
      <c r="M75"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75" s="64">
        <f>IF(TournamentData[[#This Row],[Team Number]]="","",IF(M75,RANK(M75,M$3:M$202,1)-COUNTIF(M$3:M$202,0),NumberOfTeams+1))</f>
        <v>1</v>
      </c>
      <c r="O75" s="70">
        <f>_xlfn.XLOOKUP(TournamentData[[#This Row],[Team Number]],CoreValuesResults[Team Number],CoreValuesResults[Breakthrough Selection],0,0,)</f>
        <v>0</v>
      </c>
      <c r="P75" s="70">
        <f>_xlfn.XLOOKUP(TournamentData[[#This Row],[Team Number]],CoreValuesResults[Team Number],CoreValuesResults[Rising All-Star Selection],0,0,)</f>
        <v>0</v>
      </c>
      <c r="Q75" s="70">
        <f>_xlfn.XLOOKUP(TournamentData[[#This Row],[Team Number]],CoreValuesResults[Team Number],CoreValuesResults[Motivate Selection],0,0,)</f>
        <v>0</v>
      </c>
      <c r="R75" s="66"/>
      <c r="S75" s="66"/>
      <c r="T75" s="67"/>
      <c r="U75" s="63">
        <f>_xlfn.XLOOKUP(TournamentData[[#This Row],[Team Number]],CoreValuesResults[Team Number],CoreValuesResults[Core Values Score],0,0,)</f>
        <v>0</v>
      </c>
      <c r="V75" s="63">
        <f>_xlfn.XLOOKUP(TournamentData[[#This Row],[Team Number]],InnovationProjectResults[Team Number],InnovationProjectResults[Innovation Project Score],0,0,)</f>
        <v>0</v>
      </c>
      <c r="W75" s="63">
        <f>_xlfn.XLOOKUP(TournamentData[[#This Row],[Team Number]],RobotDesignResults[Team Number],RobotDesignResults[Robot Design Score],0,0,)</f>
        <v>0</v>
      </c>
      <c r="X75"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75" s="69">
        <f t="shared" si="2"/>
        <v>0</v>
      </c>
      <c r="Z75" s="66"/>
    </row>
    <row r="76" spans="1:26" ht="21" customHeight="1" x14ac:dyDescent="0.45">
      <c r="A76">
        <f>_xlfn.XLOOKUP(74,OfficialTeamList[Row],OfficialTeamList[Team Number],"ERROR",0)</f>
        <v>0</v>
      </c>
      <c r="B76" s="62" t="str">
        <f>_xlfn.XLOOKUP(TournamentData[[#This Row],[Team Number]],OfficialTeamList[Team Number],OfficialTeamList[Team Name],"",0,)</f>
        <v/>
      </c>
      <c r="C76" s="63">
        <f>IF(TournamentData[[#This Row],[Team Number]]="","",_xlfn.XLOOKUP(TournamentData[[#This Row],[Team Number]],RobotGameScores[Team Number],RobotGameScores[Robot Game 1 Score],0,0,))</f>
        <v>0</v>
      </c>
      <c r="D76" s="63">
        <f>IF(TournamentData[[#This Row],[Team Number]]="","",_xlfn.XLOOKUP(TournamentData[[#This Row],[Team Number]],RobotGameScores[Team Number],RobotGameScores[Robot Game 2 Score],0,0,))</f>
        <v>0</v>
      </c>
      <c r="E76" s="63">
        <f>IF(TournamentData[[#This Row],[Team Number]]="","",_xlfn.XLOOKUP(TournamentData[[#This Row],[Team Number]],RobotGameScores[Team Number],RobotGameScores[Robot Game 3 Score],0,0,))</f>
        <v>0</v>
      </c>
      <c r="F76" s="63">
        <f>IF(TournamentData[[#This Row],[Team Number]]="","",_xlfn.XLOOKUP(TournamentData[[#This Row],[Team Number]],RobotGameScores[Team Number],RobotGameScores[Robot Game 4 Score],0,0,))</f>
        <v>0</v>
      </c>
      <c r="G76" s="63">
        <f>IF(TournamentData[[#This Row],[Team Number]]="","",_xlfn.XLOOKUP(TournamentData[[#This Row],[Team Number]],RobotGameScores[Team Number],RobotGameScores[Robot Game 5 Score],0,0,))</f>
        <v>0</v>
      </c>
      <c r="H76"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76" s="63">
        <f>IF(TournamentData[[#This Row],[Team Number]]="","",_xlfn.RANK.EQ(TournamentData[[#This Row],[Max Robot Game Score]],TournamentData[Max Robot Game Score]))</f>
        <v>1</v>
      </c>
      <c r="J76" s="63">
        <f>IF(TournamentData[[#This Row],[Team Number]]="","",_xlfn.XLOOKUP(TournamentData[[#This Row],[Team Number]],CoreValuesResults[Team Number],CoreValuesResults[Core Values Rank],NumberOfTeams+1,0,))</f>
        <v>1</v>
      </c>
      <c r="K76" s="63">
        <f>IF(TournamentData[[#This Row],[Team Number]]="","",_xlfn.XLOOKUP(TournamentData[[#This Row],[Team Number]],InnovationProjectResults[Team Number],InnovationProjectResults[Innovation Project Rank],NumberOfTeams+1,0,))</f>
        <v>1</v>
      </c>
      <c r="L76" s="63">
        <f>IF(TournamentData[[#This Row],[Team Number]]="","",_xlfn.XLOOKUP(TournamentData[[#This Row],[Team Number]],RobotDesignResults[Team Number],RobotDesignResults[Robot Design Rank],NumberOfTeams+1,0,))</f>
        <v>1</v>
      </c>
      <c r="M76"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76" s="64">
        <f>IF(TournamentData[[#This Row],[Team Number]]="","",IF(M76,RANK(M76,M$3:M$202,1)-COUNTIF(M$3:M$202,0),NumberOfTeams+1))</f>
        <v>1</v>
      </c>
      <c r="O76" s="70">
        <f>_xlfn.XLOOKUP(TournamentData[[#This Row],[Team Number]],CoreValuesResults[Team Number],CoreValuesResults[Breakthrough Selection],0,0,)</f>
        <v>0</v>
      </c>
      <c r="P76" s="70">
        <f>_xlfn.XLOOKUP(TournamentData[[#This Row],[Team Number]],CoreValuesResults[Team Number],CoreValuesResults[Rising All-Star Selection],0,0,)</f>
        <v>0</v>
      </c>
      <c r="Q76" s="70">
        <f>_xlfn.XLOOKUP(TournamentData[[#This Row],[Team Number]],CoreValuesResults[Team Number],CoreValuesResults[Motivate Selection],0,0,)</f>
        <v>0</v>
      </c>
      <c r="R76" s="66"/>
      <c r="S76" s="66"/>
      <c r="T76" s="67"/>
      <c r="U76" s="63">
        <f>_xlfn.XLOOKUP(TournamentData[[#This Row],[Team Number]],CoreValuesResults[Team Number],CoreValuesResults[Core Values Score],0,0,)</f>
        <v>0</v>
      </c>
      <c r="V76" s="63">
        <f>_xlfn.XLOOKUP(TournamentData[[#This Row],[Team Number]],InnovationProjectResults[Team Number],InnovationProjectResults[Innovation Project Score],0,0,)</f>
        <v>0</v>
      </c>
      <c r="W76" s="63">
        <f>_xlfn.XLOOKUP(TournamentData[[#This Row],[Team Number]],RobotDesignResults[Team Number],RobotDesignResults[Robot Design Score],0,0,)</f>
        <v>0</v>
      </c>
      <c r="X76"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76" s="69">
        <f t="shared" si="2"/>
        <v>0</v>
      </c>
      <c r="Z76" s="66"/>
    </row>
    <row r="77" spans="1:26" ht="21" customHeight="1" x14ac:dyDescent="0.45">
      <c r="A77">
        <f>_xlfn.XLOOKUP(75,OfficialTeamList[Row],OfficialTeamList[Team Number],"ERROR",0)</f>
        <v>0</v>
      </c>
      <c r="B77" s="62" t="str">
        <f>_xlfn.XLOOKUP(TournamentData[[#This Row],[Team Number]],OfficialTeamList[Team Number],OfficialTeamList[Team Name],"",0,)</f>
        <v/>
      </c>
      <c r="C77" s="63">
        <f>IF(TournamentData[[#This Row],[Team Number]]="","",_xlfn.XLOOKUP(TournamentData[[#This Row],[Team Number]],RobotGameScores[Team Number],RobotGameScores[Robot Game 1 Score],0,0,))</f>
        <v>0</v>
      </c>
      <c r="D77" s="63">
        <f>IF(TournamentData[[#This Row],[Team Number]]="","",_xlfn.XLOOKUP(TournamentData[[#This Row],[Team Number]],RobotGameScores[Team Number],RobotGameScores[Robot Game 2 Score],0,0,))</f>
        <v>0</v>
      </c>
      <c r="E77" s="63">
        <f>IF(TournamentData[[#This Row],[Team Number]]="","",_xlfn.XLOOKUP(TournamentData[[#This Row],[Team Number]],RobotGameScores[Team Number],RobotGameScores[Robot Game 3 Score],0,0,))</f>
        <v>0</v>
      </c>
      <c r="F77" s="63">
        <f>IF(TournamentData[[#This Row],[Team Number]]="","",_xlfn.XLOOKUP(TournamentData[[#This Row],[Team Number]],RobotGameScores[Team Number],RobotGameScores[Robot Game 4 Score],0,0,))</f>
        <v>0</v>
      </c>
      <c r="G77" s="63">
        <f>IF(TournamentData[[#This Row],[Team Number]]="","",_xlfn.XLOOKUP(TournamentData[[#This Row],[Team Number]],RobotGameScores[Team Number],RobotGameScores[Robot Game 5 Score],0,0,))</f>
        <v>0</v>
      </c>
      <c r="H77"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77" s="63">
        <f>IF(TournamentData[[#This Row],[Team Number]]="","",_xlfn.RANK.EQ(TournamentData[[#This Row],[Max Robot Game Score]],TournamentData[Max Robot Game Score]))</f>
        <v>1</v>
      </c>
      <c r="J77" s="63">
        <f>IF(TournamentData[[#This Row],[Team Number]]="","",_xlfn.XLOOKUP(TournamentData[[#This Row],[Team Number]],CoreValuesResults[Team Number],CoreValuesResults[Core Values Rank],NumberOfTeams+1,0,))</f>
        <v>1</v>
      </c>
      <c r="K77" s="63">
        <f>IF(TournamentData[[#This Row],[Team Number]]="","",_xlfn.XLOOKUP(TournamentData[[#This Row],[Team Number]],InnovationProjectResults[Team Number],InnovationProjectResults[Innovation Project Rank],NumberOfTeams+1,0,))</f>
        <v>1</v>
      </c>
      <c r="L77" s="63">
        <f>IF(TournamentData[[#This Row],[Team Number]]="","",_xlfn.XLOOKUP(TournamentData[[#This Row],[Team Number]],RobotDesignResults[Team Number],RobotDesignResults[Robot Design Rank],NumberOfTeams+1,0,))</f>
        <v>1</v>
      </c>
      <c r="M77"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77" s="64">
        <f>IF(TournamentData[[#This Row],[Team Number]]="","",IF(M77,RANK(M77,M$3:M$202,1)-COUNTIF(M$3:M$202,0),NumberOfTeams+1))</f>
        <v>1</v>
      </c>
      <c r="O77" s="70">
        <f>_xlfn.XLOOKUP(TournamentData[[#This Row],[Team Number]],CoreValuesResults[Team Number],CoreValuesResults[Breakthrough Selection],0,0,)</f>
        <v>0</v>
      </c>
      <c r="P77" s="70">
        <f>_xlfn.XLOOKUP(TournamentData[[#This Row],[Team Number]],CoreValuesResults[Team Number],CoreValuesResults[Rising All-Star Selection],0,0,)</f>
        <v>0</v>
      </c>
      <c r="Q77" s="70">
        <f>_xlfn.XLOOKUP(TournamentData[[#This Row],[Team Number]],CoreValuesResults[Team Number],CoreValuesResults[Motivate Selection],0,0,)</f>
        <v>0</v>
      </c>
      <c r="R77" s="66"/>
      <c r="S77" s="66"/>
      <c r="T77" s="67"/>
      <c r="U77" s="63">
        <f>_xlfn.XLOOKUP(TournamentData[[#This Row],[Team Number]],CoreValuesResults[Team Number],CoreValuesResults[Core Values Score],0,0,)</f>
        <v>0</v>
      </c>
      <c r="V77" s="63">
        <f>_xlfn.XLOOKUP(TournamentData[[#This Row],[Team Number]],InnovationProjectResults[Team Number],InnovationProjectResults[Innovation Project Score],0,0,)</f>
        <v>0</v>
      </c>
      <c r="W77" s="63">
        <f>_xlfn.XLOOKUP(TournamentData[[#This Row],[Team Number]],RobotDesignResults[Team Number],RobotDesignResults[Robot Design Score],0,0,)</f>
        <v>0</v>
      </c>
      <c r="X77"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77" s="69">
        <f t="shared" si="2"/>
        <v>0</v>
      </c>
      <c r="Z77" s="66"/>
    </row>
    <row r="78" spans="1:26" ht="21" customHeight="1" x14ac:dyDescent="0.45">
      <c r="A78">
        <f>_xlfn.XLOOKUP(76,OfficialTeamList[Row],OfficialTeamList[Team Number],"ERROR",0)</f>
        <v>0</v>
      </c>
      <c r="B78" s="62" t="str">
        <f>_xlfn.XLOOKUP(TournamentData[[#This Row],[Team Number]],OfficialTeamList[Team Number],OfficialTeamList[Team Name],"",0,)</f>
        <v/>
      </c>
      <c r="C78" s="63">
        <f>IF(TournamentData[[#This Row],[Team Number]]="","",_xlfn.XLOOKUP(TournamentData[[#This Row],[Team Number]],RobotGameScores[Team Number],RobotGameScores[Robot Game 1 Score],0,0,))</f>
        <v>0</v>
      </c>
      <c r="D78" s="63">
        <f>IF(TournamentData[[#This Row],[Team Number]]="","",_xlfn.XLOOKUP(TournamentData[[#This Row],[Team Number]],RobotGameScores[Team Number],RobotGameScores[Robot Game 2 Score],0,0,))</f>
        <v>0</v>
      </c>
      <c r="E78" s="63">
        <f>IF(TournamentData[[#This Row],[Team Number]]="","",_xlfn.XLOOKUP(TournamentData[[#This Row],[Team Number]],RobotGameScores[Team Number],RobotGameScores[Robot Game 3 Score],0,0,))</f>
        <v>0</v>
      </c>
      <c r="F78" s="63">
        <f>IF(TournamentData[[#This Row],[Team Number]]="","",_xlfn.XLOOKUP(TournamentData[[#This Row],[Team Number]],RobotGameScores[Team Number],RobotGameScores[Robot Game 4 Score],0,0,))</f>
        <v>0</v>
      </c>
      <c r="G78" s="63">
        <f>IF(TournamentData[[#This Row],[Team Number]]="","",_xlfn.XLOOKUP(TournamentData[[#This Row],[Team Number]],RobotGameScores[Team Number],RobotGameScores[Robot Game 5 Score],0,0,))</f>
        <v>0</v>
      </c>
      <c r="H78"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78" s="63">
        <f>IF(TournamentData[[#This Row],[Team Number]]="","",_xlfn.RANK.EQ(TournamentData[[#This Row],[Max Robot Game Score]],TournamentData[Max Robot Game Score]))</f>
        <v>1</v>
      </c>
      <c r="J78" s="63">
        <f>IF(TournamentData[[#This Row],[Team Number]]="","",_xlfn.XLOOKUP(TournamentData[[#This Row],[Team Number]],CoreValuesResults[Team Number],CoreValuesResults[Core Values Rank],NumberOfTeams+1,0,))</f>
        <v>1</v>
      </c>
      <c r="K78" s="63">
        <f>IF(TournamentData[[#This Row],[Team Number]]="","",_xlfn.XLOOKUP(TournamentData[[#This Row],[Team Number]],InnovationProjectResults[Team Number],InnovationProjectResults[Innovation Project Rank],NumberOfTeams+1,0,))</f>
        <v>1</v>
      </c>
      <c r="L78" s="63">
        <f>IF(TournamentData[[#This Row],[Team Number]]="","",_xlfn.XLOOKUP(TournamentData[[#This Row],[Team Number]],RobotDesignResults[Team Number],RobotDesignResults[Robot Design Rank],NumberOfTeams+1,0,))</f>
        <v>1</v>
      </c>
      <c r="M78"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78" s="64">
        <f>IF(TournamentData[[#This Row],[Team Number]]="","",IF(M78,RANK(M78,M$3:M$202,1)-COUNTIF(M$3:M$202,0),NumberOfTeams+1))</f>
        <v>1</v>
      </c>
      <c r="O78" s="70">
        <f>_xlfn.XLOOKUP(TournamentData[[#This Row],[Team Number]],CoreValuesResults[Team Number],CoreValuesResults[Breakthrough Selection],0,0,)</f>
        <v>0</v>
      </c>
      <c r="P78" s="70">
        <f>_xlfn.XLOOKUP(TournamentData[[#This Row],[Team Number]],CoreValuesResults[Team Number],CoreValuesResults[Rising All-Star Selection],0,0,)</f>
        <v>0</v>
      </c>
      <c r="Q78" s="70">
        <f>_xlfn.XLOOKUP(TournamentData[[#This Row],[Team Number]],CoreValuesResults[Team Number],CoreValuesResults[Motivate Selection],0,0,)</f>
        <v>0</v>
      </c>
      <c r="R78" s="66"/>
      <c r="S78" s="66"/>
      <c r="T78" s="67"/>
      <c r="U78" s="63">
        <f>_xlfn.XLOOKUP(TournamentData[[#This Row],[Team Number]],CoreValuesResults[Team Number],CoreValuesResults[Core Values Score],0,0,)</f>
        <v>0</v>
      </c>
      <c r="V78" s="63">
        <f>_xlfn.XLOOKUP(TournamentData[[#This Row],[Team Number]],InnovationProjectResults[Team Number],InnovationProjectResults[Innovation Project Score],0,0,)</f>
        <v>0</v>
      </c>
      <c r="W78" s="63">
        <f>_xlfn.XLOOKUP(TournamentData[[#This Row],[Team Number]],RobotDesignResults[Team Number],RobotDesignResults[Robot Design Score],0,0,)</f>
        <v>0</v>
      </c>
      <c r="X78"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78" s="69">
        <f t="shared" si="2"/>
        <v>0</v>
      </c>
      <c r="Z78" s="66"/>
    </row>
    <row r="79" spans="1:26" ht="21" customHeight="1" x14ac:dyDescent="0.45">
      <c r="A79">
        <f>_xlfn.XLOOKUP(77,OfficialTeamList[Row],OfficialTeamList[Team Number],"ERROR",0)</f>
        <v>0</v>
      </c>
      <c r="B79" s="62" t="str">
        <f>_xlfn.XLOOKUP(TournamentData[[#This Row],[Team Number]],OfficialTeamList[Team Number],OfficialTeamList[Team Name],"",0,)</f>
        <v/>
      </c>
      <c r="C79" s="63">
        <f>IF(TournamentData[[#This Row],[Team Number]]="","",_xlfn.XLOOKUP(TournamentData[[#This Row],[Team Number]],RobotGameScores[Team Number],RobotGameScores[Robot Game 1 Score],0,0,))</f>
        <v>0</v>
      </c>
      <c r="D79" s="63">
        <f>IF(TournamentData[[#This Row],[Team Number]]="","",_xlfn.XLOOKUP(TournamentData[[#This Row],[Team Number]],RobotGameScores[Team Number],RobotGameScores[Robot Game 2 Score],0,0,))</f>
        <v>0</v>
      </c>
      <c r="E79" s="63">
        <f>IF(TournamentData[[#This Row],[Team Number]]="","",_xlfn.XLOOKUP(TournamentData[[#This Row],[Team Number]],RobotGameScores[Team Number],RobotGameScores[Robot Game 3 Score],0,0,))</f>
        <v>0</v>
      </c>
      <c r="F79" s="63">
        <f>IF(TournamentData[[#This Row],[Team Number]]="","",_xlfn.XLOOKUP(TournamentData[[#This Row],[Team Number]],RobotGameScores[Team Number],RobotGameScores[Robot Game 4 Score],0,0,))</f>
        <v>0</v>
      </c>
      <c r="G79" s="63">
        <f>IF(TournamentData[[#This Row],[Team Number]]="","",_xlfn.XLOOKUP(TournamentData[[#This Row],[Team Number]],RobotGameScores[Team Number],RobotGameScores[Robot Game 5 Score],0,0,))</f>
        <v>0</v>
      </c>
      <c r="H79"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79" s="63">
        <f>IF(TournamentData[[#This Row],[Team Number]]="","",_xlfn.RANK.EQ(TournamentData[[#This Row],[Max Robot Game Score]],TournamentData[Max Robot Game Score]))</f>
        <v>1</v>
      </c>
      <c r="J79" s="63">
        <f>IF(TournamentData[[#This Row],[Team Number]]="","",_xlfn.XLOOKUP(TournamentData[[#This Row],[Team Number]],CoreValuesResults[Team Number],CoreValuesResults[Core Values Rank],NumberOfTeams+1,0,))</f>
        <v>1</v>
      </c>
      <c r="K79" s="63">
        <f>IF(TournamentData[[#This Row],[Team Number]]="","",_xlfn.XLOOKUP(TournamentData[[#This Row],[Team Number]],InnovationProjectResults[Team Number],InnovationProjectResults[Innovation Project Rank],NumberOfTeams+1,0,))</f>
        <v>1</v>
      </c>
      <c r="L79" s="63">
        <f>IF(TournamentData[[#This Row],[Team Number]]="","",_xlfn.XLOOKUP(TournamentData[[#This Row],[Team Number]],RobotDesignResults[Team Number],RobotDesignResults[Robot Design Rank],NumberOfTeams+1,0,))</f>
        <v>1</v>
      </c>
      <c r="M79"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79" s="64">
        <f>IF(TournamentData[[#This Row],[Team Number]]="","",IF(M79,RANK(M79,M$3:M$202,1)-COUNTIF(M$3:M$202,0),NumberOfTeams+1))</f>
        <v>1</v>
      </c>
      <c r="O79" s="70">
        <f>_xlfn.XLOOKUP(TournamentData[[#This Row],[Team Number]],CoreValuesResults[Team Number],CoreValuesResults[Breakthrough Selection],0,0,)</f>
        <v>0</v>
      </c>
      <c r="P79" s="70">
        <f>_xlfn.XLOOKUP(TournamentData[[#This Row],[Team Number]],CoreValuesResults[Team Number],CoreValuesResults[Rising All-Star Selection],0,0,)</f>
        <v>0</v>
      </c>
      <c r="Q79" s="70">
        <f>_xlfn.XLOOKUP(TournamentData[[#This Row],[Team Number]],CoreValuesResults[Team Number],CoreValuesResults[Motivate Selection],0,0,)</f>
        <v>0</v>
      </c>
      <c r="R79" s="66"/>
      <c r="S79" s="66"/>
      <c r="T79" s="67"/>
      <c r="U79" s="63">
        <f>_xlfn.XLOOKUP(TournamentData[[#This Row],[Team Number]],CoreValuesResults[Team Number],CoreValuesResults[Core Values Score],0,0,)</f>
        <v>0</v>
      </c>
      <c r="V79" s="63">
        <f>_xlfn.XLOOKUP(TournamentData[[#This Row],[Team Number]],InnovationProjectResults[Team Number],InnovationProjectResults[Innovation Project Score],0,0,)</f>
        <v>0</v>
      </c>
      <c r="W79" s="63">
        <f>_xlfn.XLOOKUP(TournamentData[[#This Row],[Team Number]],RobotDesignResults[Team Number],RobotDesignResults[Robot Design Score],0,0,)</f>
        <v>0</v>
      </c>
      <c r="X79"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79" s="69">
        <f t="shared" si="2"/>
        <v>0</v>
      </c>
      <c r="Z79" s="66"/>
    </row>
    <row r="80" spans="1:26" ht="21" customHeight="1" x14ac:dyDescent="0.45">
      <c r="A80">
        <f>_xlfn.XLOOKUP(78,OfficialTeamList[Row],OfficialTeamList[Team Number],"ERROR",0)</f>
        <v>0</v>
      </c>
      <c r="B80" s="62" t="str">
        <f>_xlfn.XLOOKUP(TournamentData[[#This Row],[Team Number]],OfficialTeamList[Team Number],OfficialTeamList[Team Name],"",0,)</f>
        <v/>
      </c>
      <c r="C80" s="63">
        <f>IF(TournamentData[[#This Row],[Team Number]]="","",_xlfn.XLOOKUP(TournamentData[[#This Row],[Team Number]],RobotGameScores[Team Number],RobotGameScores[Robot Game 1 Score],0,0,))</f>
        <v>0</v>
      </c>
      <c r="D80" s="63">
        <f>IF(TournamentData[[#This Row],[Team Number]]="","",_xlfn.XLOOKUP(TournamentData[[#This Row],[Team Number]],RobotGameScores[Team Number],RobotGameScores[Robot Game 2 Score],0,0,))</f>
        <v>0</v>
      </c>
      <c r="E80" s="63">
        <f>IF(TournamentData[[#This Row],[Team Number]]="","",_xlfn.XLOOKUP(TournamentData[[#This Row],[Team Number]],RobotGameScores[Team Number],RobotGameScores[Robot Game 3 Score],0,0,))</f>
        <v>0</v>
      </c>
      <c r="F80" s="63">
        <f>IF(TournamentData[[#This Row],[Team Number]]="","",_xlfn.XLOOKUP(TournamentData[[#This Row],[Team Number]],RobotGameScores[Team Number],RobotGameScores[Robot Game 4 Score],0,0,))</f>
        <v>0</v>
      </c>
      <c r="G80" s="63">
        <f>IF(TournamentData[[#This Row],[Team Number]]="","",_xlfn.XLOOKUP(TournamentData[[#This Row],[Team Number]],RobotGameScores[Team Number],RobotGameScores[Robot Game 5 Score],0,0,))</f>
        <v>0</v>
      </c>
      <c r="H80"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80" s="63">
        <f>IF(TournamentData[[#This Row],[Team Number]]="","",_xlfn.RANK.EQ(TournamentData[[#This Row],[Max Robot Game Score]],TournamentData[Max Robot Game Score]))</f>
        <v>1</v>
      </c>
      <c r="J80" s="63">
        <f>IF(TournamentData[[#This Row],[Team Number]]="","",_xlfn.XLOOKUP(TournamentData[[#This Row],[Team Number]],CoreValuesResults[Team Number],CoreValuesResults[Core Values Rank],NumberOfTeams+1,0,))</f>
        <v>1</v>
      </c>
      <c r="K80" s="63">
        <f>IF(TournamentData[[#This Row],[Team Number]]="","",_xlfn.XLOOKUP(TournamentData[[#This Row],[Team Number]],InnovationProjectResults[Team Number],InnovationProjectResults[Innovation Project Rank],NumberOfTeams+1,0,))</f>
        <v>1</v>
      </c>
      <c r="L80" s="63">
        <f>IF(TournamentData[[#This Row],[Team Number]]="","",_xlfn.XLOOKUP(TournamentData[[#This Row],[Team Number]],RobotDesignResults[Team Number],RobotDesignResults[Robot Design Rank],NumberOfTeams+1,0,))</f>
        <v>1</v>
      </c>
      <c r="M80"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80" s="64">
        <f>IF(TournamentData[[#This Row],[Team Number]]="","",IF(M80,RANK(M80,M$3:M$202,1)-COUNTIF(M$3:M$202,0),NumberOfTeams+1))</f>
        <v>1</v>
      </c>
      <c r="O80" s="70">
        <f>_xlfn.XLOOKUP(TournamentData[[#This Row],[Team Number]],CoreValuesResults[Team Number],CoreValuesResults[Breakthrough Selection],0,0,)</f>
        <v>0</v>
      </c>
      <c r="P80" s="70">
        <f>_xlfn.XLOOKUP(TournamentData[[#This Row],[Team Number]],CoreValuesResults[Team Number],CoreValuesResults[Rising All-Star Selection],0,0,)</f>
        <v>0</v>
      </c>
      <c r="Q80" s="70">
        <f>_xlfn.XLOOKUP(TournamentData[[#This Row],[Team Number]],CoreValuesResults[Team Number],CoreValuesResults[Motivate Selection],0,0,)</f>
        <v>0</v>
      </c>
      <c r="R80" s="66"/>
      <c r="S80" s="66"/>
      <c r="T80" s="67"/>
      <c r="U80" s="63">
        <f>_xlfn.XLOOKUP(TournamentData[[#This Row],[Team Number]],CoreValuesResults[Team Number],CoreValuesResults[Core Values Score],0,0,)</f>
        <v>0</v>
      </c>
      <c r="V80" s="63">
        <f>_xlfn.XLOOKUP(TournamentData[[#This Row],[Team Number]],InnovationProjectResults[Team Number],InnovationProjectResults[Innovation Project Score],0,0,)</f>
        <v>0</v>
      </c>
      <c r="W80" s="63">
        <f>_xlfn.XLOOKUP(TournamentData[[#This Row],[Team Number]],RobotDesignResults[Team Number],RobotDesignResults[Robot Design Score],0,0,)</f>
        <v>0</v>
      </c>
      <c r="X80"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80" s="69">
        <f t="shared" si="2"/>
        <v>0</v>
      </c>
      <c r="Z80" s="66"/>
    </row>
    <row r="81" spans="1:26" ht="21" customHeight="1" x14ac:dyDescent="0.45">
      <c r="A81">
        <f>_xlfn.XLOOKUP(79,OfficialTeamList[Row],OfficialTeamList[Team Number],"ERROR",0)</f>
        <v>0</v>
      </c>
      <c r="B81" s="62" t="str">
        <f>_xlfn.XLOOKUP(TournamentData[[#This Row],[Team Number]],OfficialTeamList[Team Number],OfficialTeamList[Team Name],"",0,)</f>
        <v/>
      </c>
      <c r="C81" s="63">
        <f>IF(TournamentData[[#This Row],[Team Number]]="","",_xlfn.XLOOKUP(TournamentData[[#This Row],[Team Number]],RobotGameScores[Team Number],RobotGameScores[Robot Game 1 Score],0,0,))</f>
        <v>0</v>
      </c>
      <c r="D81" s="63">
        <f>IF(TournamentData[[#This Row],[Team Number]]="","",_xlfn.XLOOKUP(TournamentData[[#This Row],[Team Number]],RobotGameScores[Team Number],RobotGameScores[Robot Game 2 Score],0,0,))</f>
        <v>0</v>
      </c>
      <c r="E81" s="63">
        <f>IF(TournamentData[[#This Row],[Team Number]]="","",_xlfn.XLOOKUP(TournamentData[[#This Row],[Team Number]],RobotGameScores[Team Number],RobotGameScores[Robot Game 3 Score],0,0,))</f>
        <v>0</v>
      </c>
      <c r="F81" s="63">
        <f>IF(TournamentData[[#This Row],[Team Number]]="","",_xlfn.XLOOKUP(TournamentData[[#This Row],[Team Number]],RobotGameScores[Team Number],RobotGameScores[Robot Game 4 Score],0,0,))</f>
        <v>0</v>
      </c>
      <c r="G81" s="63">
        <f>IF(TournamentData[[#This Row],[Team Number]]="","",_xlfn.XLOOKUP(TournamentData[[#This Row],[Team Number]],RobotGameScores[Team Number],RobotGameScores[Robot Game 5 Score],0,0,))</f>
        <v>0</v>
      </c>
      <c r="H81"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81" s="63">
        <f>IF(TournamentData[[#This Row],[Team Number]]="","",_xlfn.RANK.EQ(TournamentData[[#This Row],[Max Robot Game Score]],TournamentData[Max Robot Game Score]))</f>
        <v>1</v>
      </c>
      <c r="J81" s="63">
        <f>IF(TournamentData[[#This Row],[Team Number]]="","",_xlfn.XLOOKUP(TournamentData[[#This Row],[Team Number]],CoreValuesResults[Team Number],CoreValuesResults[Core Values Rank],NumberOfTeams+1,0,))</f>
        <v>1</v>
      </c>
      <c r="K81" s="63">
        <f>IF(TournamentData[[#This Row],[Team Number]]="","",_xlfn.XLOOKUP(TournamentData[[#This Row],[Team Number]],InnovationProjectResults[Team Number],InnovationProjectResults[Innovation Project Rank],NumberOfTeams+1,0,))</f>
        <v>1</v>
      </c>
      <c r="L81" s="63">
        <f>IF(TournamentData[[#This Row],[Team Number]]="","",_xlfn.XLOOKUP(TournamentData[[#This Row],[Team Number]],RobotDesignResults[Team Number],RobotDesignResults[Robot Design Rank],NumberOfTeams+1,0,))</f>
        <v>1</v>
      </c>
      <c r="M81"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81" s="64">
        <f>IF(TournamentData[[#This Row],[Team Number]]="","",IF(M81,RANK(M81,M$3:M$202,1)-COUNTIF(M$3:M$202,0),NumberOfTeams+1))</f>
        <v>1</v>
      </c>
      <c r="O81" s="70">
        <f>_xlfn.XLOOKUP(TournamentData[[#This Row],[Team Number]],CoreValuesResults[Team Number],CoreValuesResults[Breakthrough Selection],0,0,)</f>
        <v>0</v>
      </c>
      <c r="P81" s="70">
        <f>_xlfn.XLOOKUP(TournamentData[[#This Row],[Team Number]],CoreValuesResults[Team Number],CoreValuesResults[Rising All-Star Selection],0,0,)</f>
        <v>0</v>
      </c>
      <c r="Q81" s="70">
        <f>_xlfn.XLOOKUP(TournamentData[[#This Row],[Team Number]],CoreValuesResults[Team Number],CoreValuesResults[Motivate Selection],0,0,)</f>
        <v>0</v>
      </c>
      <c r="R81" s="66"/>
      <c r="S81" s="66"/>
      <c r="T81" s="67"/>
      <c r="U81" s="63">
        <f>_xlfn.XLOOKUP(TournamentData[[#This Row],[Team Number]],CoreValuesResults[Team Number],CoreValuesResults[Core Values Score],0,0,)</f>
        <v>0</v>
      </c>
      <c r="V81" s="63">
        <f>_xlfn.XLOOKUP(TournamentData[[#This Row],[Team Number]],InnovationProjectResults[Team Number],InnovationProjectResults[Innovation Project Score],0,0,)</f>
        <v>0</v>
      </c>
      <c r="W81" s="63">
        <f>_xlfn.XLOOKUP(TournamentData[[#This Row],[Team Number]],RobotDesignResults[Team Number],RobotDesignResults[Robot Design Score],0,0,)</f>
        <v>0</v>
      </c>
      <c r="X81"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81" s="69">
        <f t="shared" si="2"/>
        <v>0</v>
      </c>
      <c r="Z81" s="66"/>
    </row>
    <row r="82" spans="1:26" ht="21" customHeight="1" x14ac:dyDescent="0.45">
      <c r="A82">
        <f>_xlfn.XLOOKUP(80,OfficialTeamList[Row],OfficialTeamList[Team Number],"ERROR",0)</f>
        <v>0</v>
      </c>
      <c r="B82" s="62" t="str">
        <f>_xlfn.XLOOKUP(TournamentData[[#This Row],[Team Number]],OfficialTeamList[Team Number],OfficialTeamList[Team Name],"",0,)</f>
        <v/>
      </c>
      <c r="C82" s="63">
        <f>IF(TournamentData[[#This Row],[Team Number]]="","",_xlfn.XLOOKUP(TournamentData[[#This Row],[Team Number]],RobotGameScores[Team Number],RobotGameScores[Robot Game 1 Score],0,0,))</f>
        <v>0</v>
      </c>
      <c r="D82" s="63">
        <f>IF(TournamentData[[#This Row],[Team Number]]="","",_xlfn.XLOOKUP(TournamentData[[#This Row],[Team Number]],RobotGameScores[Team Number],RobotGameScores[Robot Game 2 Score],0,0,))</f>
        <v>0</v>
      </c>
      <c r="E82" s="63">
        <f>IF(TournamentData[[#This Row],[Team Number]]="","",_xlfn.XLOOKUP(TournamentData[[#This Row],[Team Number]],RobotGameScores[Team Number],RobotGameScores[Robot Game 3 Score],0,0,))</f>
        <v>0</v>
      </c>
      <c r="F82" s="63">
        <f>IF(TournamentData[[#This Row],[Team Number]]="","",_xlfn.XLOOKUP(TournamentData[[#This Row],[Team Number]],RobotGameScores[Team Number],RobotGameScores[Robot Game 4 Score],0,0,))</f>
        <v>0</v>
      </c>
      <c r="G82" s="63">
        <f>IF(TournamentData[[#This Row],[Team Number]]="","",_xlfn.XLOOKUP(TournamentData[[#This Row],[Team Number]],RobotGameScores[Team Number],RobotGameScores[Robot Game 5 Score],0,0,))</f>
        <v>0</v>
      </c>
      <c r="H82"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82" s="63">
        <f>IF(TournamentData[[#This Row],[Team Number]]="","",_xlfn.RANK.EQ(TournamentData[[#This Row],[Max Robot Game Score]],TournamentData[Max Robot Game Score]))</f>
        <v>1</v>
      </c>
      <c r="J82" s="63">
        <f>IF(TournamentData[[#This Row],[Team Number]]="","",_xlfn.XLOOKUP(TournamentData[[#This Row],[Team Number]],CoreValuesResults[Team Number],CoreValuesResults[Core Values Rank],NumberOfTeams+1,0,))</f>
        <v>1</v>
      </c>
      <c r="K82" s="63">
        <f>IF(TournamentData[[#This Row],[Team Number]]="","",_xlfn.XLOOKUP(TournamentData[[#This Row],[Team Number]],InnovationProjectResults[Team Number],InnovationProjectResults[Innovation Project Rank],NumberOfTeams+1,0,))</f>
        <v>1</v>
      </c>
      <c r="L82" s="63">
        <f>IF(TournamentData[[#This Row],[Team Number]]="","",_xlfn.XLOOKUP(TournamentData[[#This Row],[Team Number]],RobotDesignResults[Team Number],RobotDesignResults[Robot Design Rank],NumberOfTeams+1,0,))</f>
        <v>1</v>
      </c>
      <c r="M82"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82" s="64">
        <f>IF(TournamentData[[#This Row],[Team Number]]="","",IF(M82,RANK(M82,M$3:M$202,1)-COUNTIF(M$3:M$202,0),NumberOfTeams+1))</f>
        <v>1</v>
      </c>
      <c r="O82" s="70">
        <f>_xlfn.XLOOKUP(TournamentData[[#This Row],[Team Number]],CoreValuesResults[Team Number],CoreValuesResults[Breakthrough Selection],0,0,)</f>
        <v>0</v>
      </c>
      <c r="P82" s="70">
        <f>_xlfn.XLOOKUP(TournamentData[[#This Row],[Team Number]],CoreValuesResults[Team Number],CoreValuesResults[Rising All-Star Selection],0,0,)</f>
        <v>0</v>
      </c>
      <c r="Q82" s="70">
        <f>_xlfn.XLOOKUP(TournamentData[[#This Row],[Team Number]],CoreValuesResults[Team Number],CoreValuesResults[Motivate Selection],0,0,)</f>
        <v>0</v>
      </c>
      <c r="R82" s="66"/>
      <c r="S82" s="66"/>
      <c r="T82" s="67"/>
      <c r="U82" s="63">
        <f>_xlfn.XLOOKUP(TournamentData[[#This Row],[Team Number]],CoreValuesResults[Team Number],CoreValuesResults[Core Values Score],0,0,)</f>
        <v>0</v>
      </c>
      <c r="V82" s="63">
        <f>_xlfn.XLOOKUP(TournamentData[[#This Row],[Team Number]],InnovationProjectResults[Team Number],InnovationProjectResults[Innovation Project Score],0,0,)</f>
        <v>0</v>
      </c>
      <c r="W82" s="63">
        <f>_xlfn.XLOOKUP(TournamentData[[#This Row],[Team Number]],RobotDesignResults[Team Number],RobotDesignResults[Robot Design Score],0,0,)</f>
        <v>0</v>
      </c>
      <c r="X82"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82" s="69">
        <f t="shared" si="2"/>
        <v>0</v>
      </c>
      <c r="Z82" s="66"/>
    </row>
    <row r="83" spans="1:26" ht="21" customHeight="1" x14ac:dyDescent="0.45">
      <c r="A83">
        <f>_xlfn.XLOOKUP(81,OfficialTeamList[Row],OfficialTeamList[Team Number],"ERROR",0)</f>
        <v>0</v>
      </c>
      <c r="B83" s="62" t="str">
        <f>_xlfn.XLOOKUP(TournamentData[[#This Row],[Team Number]],OfficialTeamList[Team Number],OfficialTeamList[Team Name],"",0,)</f>
        <v/>
      </c>
      <c r="C83" s="63">
        <f>IF(TournamentData[[#This Row],[Team Number]]="","",_xlfn.XLOOKUP(TournamentData[[#This Row],[Team Number]],RobotGameScores[Team Number],RobotGameScores[Robot Game 1 Score],0,0,))</f>
        <v>0</v>
      </c>
      <c r="D83" s="63">
        <f>IF(TournamentData[[#This Row],[Team Number]]="","",_xlfn.XLOOKUP(TournamentData[[#This Row],[Team Number]],RobotGameScores[Team Number],RobotGameScores[Robot Game 2 Score],0,0,))</f>
        <v>0</v>
      </c>
      <c r="E83" s="63">
        <f>IF(TournamentData[[#This Row],[Team Number]]="","",_xlfn.XLOOKUP(TournamentData[[#This Row],[Team Number]],RobotGameScores[Team Number],RobotGameScores[Robot Game 3 Score],0,0,))</f>
        <v>0</v>
      </c>
      <c r="F83" s="63">
        <f>IF(TournamentData[[#This Row],[Team Number]]="","",_xlfn.XLOOKUP(TournamentData[[#This Row],[Team Number]],RobotGameScores[Team Number],RobotGameScores[Robot Game 4 Score],0,0,))</f>
        <v>0</v>
      </c>
      <c r="G83" s="63">
        <f>IF(TournamentData[[#This Row],[Team Number]]="","",_xlfn.XLOOKUP(TournamentData[[#This Row],[Team Number]],RobotGameScores[Team Number],RobotGameScores[Robot Game 5 Score],0,0,))</f>
        <v>0</v>
      </c>
      <c r="H83"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83" s="63">
        <f>IF(TournamentData[[#This Row],[Team Number]]="","",_xlfn.RANK.EQ(TournamentData[[#This Row],[Max Robot Game Score]],TournamentData[Max Robot Game Score]))</f>
        <v>1</v>
      </c>
      <c r="J83" s="63">
        <f>IF(TournamentData[[#This Row],[Team Number]]="","",_xlfn.XLOOKUP(TournamentData[[#This Row],[Team Number]],CoreValuesResults[Team Number],CoreValuesResults[Core Values Rank],NumberOfTeams+1,0,))</f>
        <v>1</v>
      </c>
      <c r="K83" s="63">
        <f>IF(TournamentData[[#This Row],[Team Number]]="","",_xlfn.XLOOKUP(TournamentData[[#This Row],[Team Number]],InnovationProjectResults[Team Number],InnovationProjectResults[Innovation Project Rank],NumberOfTeams+1,0,))</f>
        <v>1</v>
      </c>
      <c r="L83" s="63">
        <f>IF(TournamentData[[#This Row],[Team Number]]="","",_xlfn.XLOOKUP(TournamentData[[#This Row],[Team Number]],RobotDesignResults[Team Number],RobotDesignResults[Robot Design Rank],NumberOfTeams+1,0,))</f>
        <v>1</v>
      </c>
      <c r="M83"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83" s="64">
        <f>IF(TournamentData[[#This Row],[Team Number]]="","",IF(M83,RANK(M83,M$3:M$202,1)-COUNTIF(M$3:M$202,0),NumberOfTeams+1))</f>
        <v>1</v>
      </c>
      <c r="O83" s="70">
        <f>_xlfn.XLOOKUP(TournamentData[[#This Row],[Team Number]],CoreValuesResults[Team Number],CoreValuesResults[Breakthrough Selection],0,0,)</f>
        <v>0</v>
      </c>
      <c r="P83" s="70">
        <f>_xlfn.XLOOKUP(TournamentData[[#This Row],[Team Number]],CoreValuesResults[Team Number],CoreValuesResults[Rising All-Star Selection],0,0,)</f>
        <v>0</v>
      </c>
      <c r="Q83" s="70">
        <f>_xlfn.XLOOKUP(TournamentData[[#This Row],[Team Number]],CoreValuesResults[Team Number],CoreValuesResults[Motivate Selection],0,0,)</f>
        <v>0</v>
      </c>
      <c r="R83" s="66"/>
      <c r="S83" s="66"/>
      <c r="T83" s="67"/>
      <c r="U83" s="63">
        <f>_xlfn.XLOOKUP(TournamentData[[#This Row],[Team Number]],CoreValuesResults[Team Number],CoreValuesResults[Core Values Score],0,0,)</f>
        <v>0</v>
      </c>
      <c r="V83" s="63">
        <f>_xlfn.XLOOKUP(TournamentData[[#This Row],[Team Number]],InnovationProjectResults[Team Number],InnovationProjectResults[Innovation Project Score],0,0,)</f>
        <v>0</v>
      </c>
      <c r="W83" s="63">
        <f>_xlfn.XLOOKUP(TournamentData[[#This Row],[Team Number]],RobotDesignResults[Team Number],RobotDesignResults[Robot Design Score],0,0,)</f>
        <v>0</v>
      </c>
      <c r="X83"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83" s="69">
        <f t="shared" si="2"/>
        <v>0</v>
      </c>
      <c r="Z83" s="66"/>
    </row>
    <row r="84" spans="1:26" ht="21" customHeight="1" x14ac:dyDescent="0.45">
      <c r="A84">
        <f>_xlfn.XLOOKUP(82,OfficialTeamList[Row],OfficialTeamList[Team Number],"ERROR",0)</f>
        <v>0</v>
      </c>
      <c r="B84" s="62" t="str">
        <f>_xlfn.XLOOKUP(TournamentData[[#This Row],[Team Number]],OfficialTeamList[Team Number],OfficialTeamList[Team Name],"",0,)</f>
        <v/>
      </c>
      <c r="C84" s="63">
        <f>IF(TournamentData[[#This Row],[Team Number]]="","",_xlfn.XLOOKUP(TournamentData[[#This Row],[Team Number]],RobotGameScores[Team Number],RobotGameScores[Robot Game 1 Score],0,0,))</f>
        <v>0</v>
      </c>
      <c r="D84" s="63">
        <f>IF(TournamentData[[#This Row],[Team Number]]="","",_xlfn.XLOOKUP(TournamentData[[#This Row],[Team Number]],RobotGameScores[Team Number],RobotGameScores[Robot Game 2 Score],0,0,))</f>
        <v>0</v>
      </c>
      <c r="E84" s="63">
        <f>IF(TournamentData[[#This Row],[Team Number]]="","",_xlfn.XLOOKUP(TournamentData[[#This Row],[Team Number]],RobotGameScores[Team Number],RobotGameScores[Robot Game 3 Score],0,0,))</f>
        <v>0</v>
      </c>
      <c r="F84" s="63">
        <f>IF(TournamentData[[#This Row],[Team Number]]="","",_xlfn.XLOOKUP(TournamentData[[#This Row],[Team Number]],RobotGameScores[Team Number],RobotGameScores[Robot Game 4 Score],0,0,))</f>
        <v>0</v>
      </c>
      <c r="G84" s="63">
        <f>IF(TournamentData[[#This Row],[Team Number]]="","",_xlfn.XLOOKUP(TournamentData[[#This Row],[Team Number]],RobotGameScores[Team Number],RobotGameScores[Robot Game 5 Score],0,0,))</f>
        <v>0</v>
      </c>
      <c r="H84"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84" s="63">
        <f>IF(TournamentData[[#This Row],[Team Number]]="","",_xlfn.RANK.EQ(TournamentData[[#This Row],[Max Robot Game Score]],TournamentData[Max Robot Game Score]))</f>
        <v>1</v>
      </c>
      <c r="J84" s="63">
        <f>IF(TournamentData[[#This Row],[Team Number]]="","",_xlfn.XLOOKUP(TournamentData[[#This Row],[Team Number]],CoreValuesResults[Team Number],CoreValuesResults[Core Values Rank],NumberOfTeams+1,0,))</f>
        <v>1</v>
      </c>
      <c r="K84" s="63">
        <f>IF(TournamentData[[#This Row],[Team Number]]="","",_xlfn.XLOOKUP(TournamentData[[#This Row],[Team Number]],InnovationProjectResults[Team Number],InnovationProjectResults[Innovation Project Rank],NumberOfTeams+1,0,))</f>
        <v>1</v>
      </c>
      <c r="L84" s="63">
        <f>IF(TournamentData[[#This Row],[Team Number]]="","",_xlfn.XLOOKUP(TournamentData[[#This Row],[Team Number]],RobotDesignResults[Team Number],RobotDesignResults[Robot Design Rank],NumberOfTeams+1,0,))</f>
        <v>1</v>
      </c>
      <c r="M84"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84" s="64">
        <f>IF(TournamentData[[#This Row],[Team Number]]="","",IF(M84,RANK(M84,M$3:M$202,1)-COUNTIF(M$3:M$202,0),NumberOfTeams+1))</f>
        <v>1</v>
      </c>
      <c r="O84" s="70">
        <f>_xlfn.XLOOKUP(TournamentData[[#This Row],[Team Number]],CoreValuesResults[Team Number],CoreValuesResults[Breakthrough Selection],0,0,)</f>
        <v>0</v>
      </c>
      <c r="P84" s="70">
        <f>_xlfn.XLOOKUP(TournamentData[[#This Row],[Team Number]],CoreValuesResults[Team Number],CoreValuesResults[Rising All-Star Selection],0,0,)</f>
        <v>0</v>
      </c>
      <c r="Q84" s="70">
        <f>_xlfn.XLOOKUP(TournamentData[[#This Row],[Team Number]],CoreValuesResults[Team Number],CoreValuesResults[Motivate Selection],0,0,)</f>
        <v>0</v>
      </c>
      <c r="R84" s="66"/>
      <c r="S84" s="66"/>
      <c r="T84" s="67"/>
      <c r="U84" s="63">
        <f>_xlfn.XLOOKUP(TournamentData[[#This Row],[Team Number]],CoreValuesResults[Team Number],CoreValuesResults[Core Values Score],0,0,)</f>
        <v>0</v>
      </c>
      <c r="V84" s="63">
        <f>_xlfn.XLOOKUP(TournamentData[[#This Row],[Team Number]],InnovationProjectResults[Team Number],InnovationProjectResults[Innovation Project Score],0,0,)</f>
        <v>0</v>
      </c>
      <c r="W84" s="63">
        <f>_xlfn.XLOOKUP(TournamentData[[#This Row],[Team Number]],RobotDesignResults[Team Number],RobotDesignResults[Robot Design Score],0,0,)</f>
        <v>0</v>
      </c>
      <c r="X84"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84" s="69">
        <f t="shared" si="2"/>
        <v>0</v>
      </c>
      <c r="Z84" s="66"/>
    </row>
    <row r="85" spans="1:26" ht="21" customHeight="1" x14ac:dyDescent="0.45">
      <c r="A85">
        <f>_xlfn.XLOOKUP(83,OfficialTeamList[Row],OfficialTeamList[Team Number],"ERROR",0)</f>
        <v>0</v>
      </c>
      <c r="B85" s="62" t="str">
        <f>_xlfn.XLOOKUP(TournamentData[[#This Row],[Team Number]],OfficialTeamList[Team Number],OfficialTeamList[Team Name],"",0,)</f>
        <v/>
      </c>
      <c r="C85" s="63">
        <f>IF(TournamentData[[#This Row],[Team Number]]="","",_xlfn.XLOOKUP(TournamentData[[#This Row],[Team Number]],RobotGameScores[Team Number],RobotGameScores[Robot Game 1 Score],0,0,))</f>
        <v>0</v>
      </c>
      <c r="D85" s="63">
        <f>IF(TournamentData[[#This Row],[Team Number]]="","",_xlfn.XLOOKUP(TournamentData[[#This Row],[Team Number]],RobotGameScores[Team Number],RobotGameScores[Robot Game 2 Score],0,0,))</f>
        <v>0</v>
      </c>
      <c r="E85" s="63">
        <f>IF(TournamentData[[#This Row],[Team Number]]="","",_xlfn.XLOOKUP(TournamentData[[#This Row],[Team Number]],RobotGameScores[Team Number],RobotGameScores[Robot Game 3 Score],0,0,))</f>
        <v>0</v>
      </c>
      <c r="F85" s="63">
        <f>IF(TournamentData[[#This Row],[Team Number]]="","",_xlfn.XLOOKUP(TournamentData[[#This Row],[Team Number]],RobotGameScores[Team Number],RobotGameScores[Robot Game 4 Score],0,0,))</f>
        <v>0</v>
      </c>
      <c r="G85" s="63">
        <f>IF(TournamentData[[#This Row],[Team Number]]="","",_xlfn.XLOOKUP(TournamentData[[#This Row],[Team Number]],RobotGameScores[Team Number],RobotGameScores[Robot Game 5 Score],0,0,))</f>
        <v>0</v>
      </c>
      <c r="H85"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85" s="63">
        <f>IF(TournamentData[[#This Row],[Team Number]]="","",_xlfn.RANK.EQ(TournamentData[[#This Row],[Max Robot Game Score]],TournamentData[Max Robot Game Score]))</f>
        <v>1</v>
      </c>
      <c r="J85" s="63">
        <f>IF(TournamentData[[#This Row],[Team Number]]="","",_xlfn.XLOOKUP(TournamentData[[#This Row],[Team Number]],CoreValuesResults[Team Number],CoreValuesResults[Core Values Rank],NumberOfTeams+1,0,))</f>
        <v>1</v>
      </c>
      <c r="K85" s="63">
        <f>IF(TournamentData[[#This Row],[Team Number]]="","",_xlfn.XLOOKUP(TournamentData[[#This Row],[Team Number]],InnovationProjectResults[Team Number],InnovationProjectResults[Innovation Project Rank],NumberOfTeams+1,0,))</f>
        <v>1</v>
      </c>
      <c r="L85" s="63">
        <f>IF(TournamentData[[#This Row],[Team Number]]="","",_xlfn.XLOOKUP(TournamentData[[#This Row],[Team Number]],RobotDesignResults[Team Number],RobotDesignResults[Robot Design Rank],NumberOfTeams+1,0,))</f>
        <v>1</v>
      </c>
      <c r="M85"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85" s="64">
        <f>IF(TournamentData[[#This Row],[Team Number]]="","",IF(M85,RANK(M85,M$3:M$202,1)-COUNTIF(M$3:M$202,0),NumberOfTeams+1))</f>
        <v>1</v>
      </c>
      <c r="O85" s="70">
        <f>_xlfn.XLOOKUP(TournamentData[[#This Row],[Team Number]],CoreValuesResults[Team Number],CoreValuesResults[Breakthrough Selection],0,0,)</f>
        <v>0</v>
      </c>
      <c r="P85" s="70">
        <f>_xlfn.XLOOKUP(TournamentData[[#This Row],[Team Number]],CoreValuesResults[Team Number],CoreValuesResults[Rising All-Star Selection],0,0,)</f>
        <v>0</v>
      </c>
      <c r="Q85" s="70">
        <f>_xlfn.XLOOKUP(TournamentData[[#This Row],[Team Number]],CoreValuesResults[Team Number],CoreValuesResults[Motivate Selection],0,0,)</f>
        <v>0</v>
      </c>
      <c r="R85" s="66"/>
      <c r="S85" s="66"/>
      <c r="T85" s="67"/>
      <c r="U85" s="63">
        <f>_xlfn.XLOOKUP(TournamentData[[#This Row],[Team Number]],CoreValuesResults[Team Number],CoreValuesResults[Core Values Score],0,0,)</f>
        <v>0</v>
      </c>
      <c r="V85" s="63">
        <f>_xlfn.XLOOKUP(TournamentData[[#This Row],[Team Number]],InnovationProjectResults[Team Number],InnovationProjectResults[Innovation Project Score],0,0,)</f>
        <v>0</v>
      </c>
      <c r="W85" s="63">
        <f>_xlfn.XLOOKUP(TournamentData[[#This Row],[Team Number]],RobotDesignResults[Team Number],RobotDesignResults[Robot Design Score],0,0,)</f>
        <v>0</v>
      </c>
      <c r="X85"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85" s="69">
        <f t="shared" si="2"/>
        <v>0</v>
      </c>
      <c r="Z85" s="66"/>
    </row>
    <row r="86" spans="1:26" ht="21" customHeight="1" x14ac:dyDescent="0.45">
      <c r="A86">
        <f>_xlfn.XLOOKUP(84,OfficialTeamList[Row],OfficialTeamList[Team Number],"ERROR",0)</f>
        <v>0</v>
      </c>
      <c r="B86" s="62" t="str">
        <f>_xlfn.XLOOKUP(TournamentData[[#This Row],[Team Number]],OfficialTeamList[Team Number],OfficialTeamList[Team Name],"",0,)</f>
        <v/>
      </c>
      <c r="C86" s="63">
        <f>IF(TournamentData[[#This Row],[Team Number]]="","",_xlfn.XLOOKUP(TournamentData[[#This Row],[Team Number]],RobotGameScores[Team Number],RobotGameScores[Robot Game 1 Score],0,0,))</f>
        <v>0</v>
      </c>
      <c r="D86" s="63">
        <f>IF(TournamentData[[#This Row],[Team Number]]="","",_xlfn.XLOOKUP(TournamentData[[#This Row],[Team Number]],RobotGameScores[Team Number],RobotGameScores[Robot Game 2 Score],0,0,))</f>
        <v>0</v>
      </c>
      <c r="E86" s="63">
        <f>IF(TournamentData[[#This Row],[Team Number]]="","",_xlfn.XLOOKUP(TournamentData[[#This Row],[Team Number]],RobotGameScores[Team Number],RobotGameScores[Robot Game 3 Score],0,0,))</f>
        <v>0</v>
      </c>
      <c r="F86" s="63">
        <f>IF(TournamentData[[#This Row],[Team Number]]="","",_xlfn.XLOOKUP(TournamentData[[#This Row],[Team Number]],RobotGameScores[Team Number],RobotGameScores[Robot Game 4 Score],0,0,))</f>
        <v>0</v>
      </c>
      <c r="G86" s="63">
        <f>IF(TournamentData[[#This Row],[Team Number]]="","",_xlfn.XLOOKUP(TournamentData[[#This Row],[Team Number]],RobotGameScores[Team Number],RobotGameScores[Robot Game 5 Score],0,0,))</f>
        <v>0</v>
      </c>
      <c r="H86"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86" s="63">
        <f>IF(TournamentData[[#This Row],[Team Number]]="","",_xlfn.RANK.EQ(TournamentData[[#This Row],[Max Robot Game Score]],TournamentData[Max Robot Game Score]))</f>
        <v>1</v>
      </c>
      <c r="J86" s="63">
        <f>IF(TournamentData[[#This Row],[Team Number]]="","",_xlfn.XLOOKUP(TournamentData[[#This Row],[Team Number]],CoreValuesResults[Team Number],CoreValuesResults[Core Values Rank],NumberOfTeams+1,0,))</f>
        <v>1</v>
      </c>
      <c r="K86" s="63">
        <f>IF(TournamentData[[#This Row],[Team Number]]="","",_xlfn.XLOOKUP(TournamentData[[#This Row],[Team Number]],InnovationProjectResults[Team Number],InnovationProjectResults[Innovation Project Rank],NumberOfTeams+1,0,))</f>
        <v>1</v>
      </c>
      <c r="L86" s="63">
        <f>IF(TournamentData[[#This Row],[Team Number]]="","",_xlfn.XLOOKUP(TournamentData[[#This Row],[Team Number]],RobotDesignResults[Team Number],RobotDesignResults[Robot Design Rank],NumberOfTeams+1,0,))</f>
        <v>1</v>
      </c>
      <c r="M86"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86" s="64">
        <f>IF(TournamentData[[#This Row],[Team Number]]="","",IF(M86,RANK(M86,M$3:M$202,1)-COUNTIF(M$3:M$202,0),NumberOfTeams+1))</f>
        <v>1</v>
      </c>
      <c r="O86" s="70">
        <f>_xlfn.XLOOKUP(TournamentData[[#This Row],[Team Number]],CoreValuesResults[Team Number],CoreValuesResults[Breakthrough Selection],0,0,)</f>
        <v>0</v>
      </c>
      <c r="P86" s="70">
        <f>_xlfn.XLOOKUP(TournamentData[[#This Row],[Team Number]],CoreValuesResults[Team Number],CoreValuesResults[Rising All-Star Selection],0,0,)</f>
        <v>0</v>
      </c>
      <c r="Q86" s="70">
        <f>_xlfn.XLOOKUP(TournamentData[[#This Row],[Team Number]],CoreValuesResults[Team Number],CoreValuesResults[Motivate Selection],0,0,)</f>
        <v>0</v>
      </c>
      <c r="R86" s="66"/>
      <c r="S86" s="66"/>
      <c r="T86" s="67"/>
      <c r="U86" s="63">
        <f>_xlfn.XLOOKUP(TournamentData[[#This Row],[Team Number]],CoreValuesResults[Team Number],CoreValuesResults[Core Values Score],0,0,)</f>
        <v>0</v>
      </c>
      <c r="V86" s="63">
        <f>_xlfn.XLOOKUP(TournamentData[[#This Row],[Team Number]],InnovationProjectResults[Team Number],InnovationProjectResults[Innovation Project Score],0,0,)</f>
        <v>0</v>
      </c>
      <c r="W86" s="63">
        <f>_xlfn.XLOOKUP(TournamentData[[#This Row],[Team Number]],RobotDesignResults[Team Number],RobotDesignResults[Robot Design Score],0,0,)</f>
        <v>0</v>
      </c>
      <c r="X86"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86" s="69">
        <f t="shared" si="2"/>
        <v>0</v>
      </c>
      <c r="Z86" s="66"/>
    </row>
    <row r="87" spans="1:26" ht="21" customHeight="1" x14ac:dyDescent="0.45">
      <c r="A87">
        <f>_xlfn.XLOOKUP(85,OfficialTeamList[Row],OfficialTeamList[Team Number],"ERROR",0)</f>
        <v>0</v>
      </c>
      <c r="B87" s="62" t="str">
        <f>_xlfn.XLOOKUP(TournamentData[[#This Row],[Team Number]],OfficialTeamList[Team Number],OfficialTeamList[Team Name],"",0,)</f>
        <v/>
      </c>
      <c r="C87" s="63">
        <f>IF(TournamentData[[#This Row],[Team Number]]="","",_xlfn.XLOOKUP(TournamentData[[#This Row],[Team Number]],RobotGameScores[Team Number],RobotGameScores[Robot Game 1 Score],0,0,))</f>
        <v>0</v>
      </c>
      <c r="D87" s="63">
        <f>IF(TournamentData[[#This Row],[Team Number]]="","",_xlfn.XLOOKUP(TournamentData[[#This Row],[Team Number]],RobotGameScores[Team Number],RobotGameScores[Robot Game 2 Score],0,0,))</f>
        <v>0</v>
      </c>
      <c r="E87" s="63">
        <f>IF(TournamentData[[#This Row],[Team Number]]="","",_xlfn.XLOOKUP(TournamentData[[#This Row],[Team Number]],RobotGameScores[Team Number],RobotGameScores[Robot Game 3 Score],0,0,))</f>
        <v>0</v>
      </c>
      <c r="F87" s="63">
        <f>IF(TournamentData[[#This Row],[Team Number]]="","",_xlfn.XLOOKUP(TournamentData[[#This Row],[Team Number]],RobotGameScores[Team Number],RobotGameScores[Robot Game 4 Score],0,0,))</f>
        <v>0</v>
      </c>
      <c r="G87" s="63">
        <f>IF(TournamentData[[#This Row],[Team Number]]="","",_xlfn.XLOOKUP(TournamentData[[#This Row],[Team Number]],RobotGameScores[Team Number],RobotGameScores[Robot Game 5 Score],0,0,))</f>
        <v>0</v>
      </c>
      <c r="H87"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87" s="63">
        <f>IF(TournamentData[[#This Row],[Team Number]]="","",_xlfn.RANK.EQ(TournamentData[[#This Row],[Max Robot Game Score]],TournamentData[Max Robot Game Score]))</f>
        <v>1</v>
      </c>
      <c r="J87" s="63">
        <f>IF(TournamentData[[#This Row],[Team Number]]="","",_xlfn.XLOOKUP(TournamentData[[#This Row],[Team Number]],CoreValuesResults[Team Number],CoreValuesResults[Core Values Rank],NumberOfTeams+1,0,))</f>
        <v>1</v>
      </c>
      <c r="K87" s="63">
        <f>IF(TournamentData[[#This Row],[Team Number]]="","",_xlfn.XLOOKUP(TournamentData[[#This Row],[Team Number]],InnovationProjectResults[Team Number],InnovationProjectResults[Innovation Project Rank],NumberOfTeams+1,0,))</f>
        <v>1</v>
      </c>
      <c r="L87" s="63">
        <f>IF(TournamentData[[#This Row],[Team Number]]="","",_xlfn.XLOOKUP(TournamentData[[#This Row],[Team Number]],RobotDesignResults[Team Number],RobotDesignResults[Robot Design Rank],NumberOfTeams+1,0,))</f>
        <v>1</v>
      </c>
      <c r="M87"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87" s="64">
        <f>IF(TournamentData[[#This Row],[Team Number]]="","",IF(M87,RANK(M87,M$3:M$202,1)-COUNTIF(M$3:M$202,0),NumberOfTeams+1))</f>
        <v>1</v>
      </c>
      <c r="O87" s="70">
        <f>_xlfn.XLOOKUP(TournamentData[[#This Row],[Team Number]],CoreValuesResults[Team Number],CoreValuesResults[Breakthrough Selection],0,0,)</f>
        <v>0</v>
      </c>
      <c r="P87" s="70">
        <f>_xlfn.XLOOKUP(TournamentData[[#This Row],[Team Number]],CoreValuesResults[Team Number],CoreValuesResults[Rising All-Star Selection],0,0,)</f>
        <v>0</v>
      </c>
      <c r="Q87" s="70">
        <f>_xlfn.XLOOKUP(TournamentData[[#This Row],[Team Number]],CoreValuesResults[Team Number],CoreValuesResults[Motivate Selection],0,0,)</f>
        <v>0</v>
      </c>
      <c r="R87" s="66"/>
      <c r="S87" s="66"/>
      <c r="T87" s="67"/>
      <c r="U87" s="63">
        <f>_xlfn.XLOOKUP(TournamentData[[#This Row],[Team Number]],CoreValuesResults[Team Number],CoreValuesResults[Core Values Score],0,0,)</f>
        <v>0</v>
      </c>
      <c r="V87" s="63">
        <f>_xlfn.XLOOKUP(TournamentData[[#This Row],[Team Number]],InnovationProjectResults[Team Number],InnovationProjectResults[Innovation Project Score],0,0,)</f>
        <v>0</v>
      </c>
      <c r="W87" s="63">
        <f>_xlfn.XLOOKUP(TournamentData[[#This Row],[Team Number]],RobotDesignResults[Team Number],RobotDesignResults[Robot Design Score],0,0,)</f>
        <v>0</v>
      </c>
      <c r="X87"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87" s="69">
        <f t="shared" si="2"/>
        <v>0</v>
      </c>
      <c r="Z87" s="66"/>
    </row>
    <row r="88" spans="1:26" ht="21" customHeight="1" x14ac:dyDescent="0.45">
      <c r="A88">
        <f>_xlfn.XLOOKUP(86,OfficialTeamList[Row],OfficialTeamList[Team Number],"ERROR",0)</f>
        <v>0</v>
      </c>
      <c r="B88" s="62" t="str">
        <f>_xlfn.XLOOKUP(TournamentData[[#This Row],[Team Number]],OfficialTeamList[Team Number],OfficialTeamList[Team Name],"",0,)</f>
        <v/>
      </c>
      <c r="C88" s="63">
        <f>IF(TournamentData[[#This Row],[Team Number]]="","",_xlfn.XLOOKUP(TournamentData[[#This Row],[Team Number]],RobotGameScores[Team Number],RobotGameScores[Robot Game 1 Score],0,0,))</f>
        <v>0</v>
      </c>
      <c r="D88" s="63">
        <f>IF(TournamentData[[#This Row],[Team Number]]="","",_xlfn.XLOOKUP(TournamentData[[#This Row],[Team Number]],RobotGameScores[Team Number],RobotGameScores[Robot Game 2 Score],0,0,))</f>
        <v>0</v>
      </c>
      <c r="E88" s="63">
        <f>IF(TournamentData[[#This Row],[Team Number]]="","",_xlfn.XLOOKUP(TournamentData[[#This Row],[Team Number]],RobotGameScores[Team Number],RobotGameScores[Robot Game 3 Score],0,0,))</f>
        <v>0</v>
      </c>
      <c r="F88" s="63">
        <f>IF(TournamentData[[#This Row],[Team Number]]="","",_xlfn.XLOOKUP(TournamentData[[#This Row],[Team Number]],RobotGameScores[Team Number],RobotGameScores[Robot Game 4 Score],0,0,))</f>
        <v>0</v>
      </c>
      <c r="G88" s="63">
        <f>IF(TournamentData[[#This Row],[Team Number]]="","",_xlfn.XLOOKUP(TournamentData[[#This Row],[Team Number]],RobotGameScores[Team Number],RobotGameScores[Robot Game 5 Score],0,0,))</f>
        <v>0</v>
      </c>
      <c r="H88"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88" s="63">
        <f>IF(TournamentData[[#This Row],[Team Number]]="","",_xlfn.RANK.EQ(TournamentData[[#This Row],[Max Robot Game Score]],TournamentData[Max Robot Game Score]))</f>
        <v>1</v>
      </c>
      <c r="J88" s="63">
        <f>IF(TournamentData[[#This Row],[Team Number]]="","",_xlfn.XLOOKUP(TournamentData[[#This Row],[Team Number]],CoreValuesResults[Team Number],CoreValuesResults[Core Values Rank],NumberOfTeams+1,0,))</f>
        <v>1</v>
      </c>
      <c r="K88" s="63">
        <f>IF(TournamentData[[#This Row],[Team Number]]="","",_xlfn.XLOOKUP(TournamentData[[#This Row],[Team Number]],InnovationProjectResults[Team Number],InnovationProjectResults[Innovation Project Rank],NumberOfTeams+1,0,))</f>
        <v>1</v>
      </c>
      <c r="L88" s="63">
        <f>IF(TournamentData[[#This Row],[Team Number]]="","",_xlfn.XLOOKUP(TournamentData[[#This Row],[Team Number]],RobotDesignResults[Team Number],RobotDesignResults[Robot Design Rank],NumberOfTeams+1,0,))</f>
        <v>1</v>
      </c>
      <c r="M88"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88" s="64">
        <f>IF(TournamentData[[#This Row],[Team Number]]="","",IF(M88,RANK(M88,M$3:M$202,1)-COUNTIF(M$3:M$202,0),NumberOfTeams+1))</f>
        <v>1</v>
      </c>
      <c r="O88" s="70">
        <f>_xlfn.XLOOKUP(TournamentData[[#This Row],[Team Number]],CoreValuesResults[Team Number],CoreValuesResults[Breakthrough Selection],0,0,)</f>
        <v>0</v>
      </c>
      <c r="P88" s="70">
        <f>_xlfn.XLOOKUP(TournamentData[[#This Row],[Team Number]],CoreValuesResults[Team Number],CoreValuesResults[Rising All-Star Selection],0,0,)</f>
        <v>0</v>
      </c>
      <c r="Q88" s="70">
        <f>_xlfn.XLOOKUP(TournamentData[[#This Row],[Team Number]],CoreValuesResults[Team Number],CoreValuesResults[Motivate Selection],0,0,)</f>
        <v>0</v>
      </c>
      <c r="R88" s="66"/>
      <c r="S88" s="66"/>
      <c r="T88" s="67"/>
      <c r="U88" s="63">
        <f>_xlfn.XLOOKUP(TournamentData[[#This Row],[Team Number]],CoreValuesResults[Team Number],CoreValuesResults[Core Values Score],0,0,)</f>
        <v>0</v>
      </c>
      <c r="V88" s="63">
        <f>_xlfn.XLOOKUP(TournamentData[[#This Row],[Team Number]],InnovationProjectResults[Team Number],InnovationProjectResults[Innovation Project Score],0,0,)</f>
        <v>0</v>
      </c>
      <c r="W88" s="63">
        <f>_xlfn.XLOOKUP(TournamentData[[#This Row],[Team Number]],RobotDesignResults[Team Number],RobotDesignResults[Robot Design Score],0,0,)</f>
        <v>0</v>
      </c>
      <c r="X88"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88" s="69">
        <f t="shared" si="2"/>
        <v>0</v>
      </c>
      <c r="Z88" s="66"/>
    </row>
    <row r="89" spans="1:26" ht="21" customHeight="1" x14ac:dyDescent="0.45">
      <c r="A89">
        <f>_xlfn.XLOOKUP(87,OfficialTeamList[Row],OfficialTeamList[Team Number],"ERROR",0)</f>
        <v>0</v>
      </c>
      <c r="B89" s="62" t="str">
        <f>_xlfn.XLOOKUP(TournamentData[[#This Row],[Team Number]],OfficialTeamList[Team Number],OfficialTeamList[Team Name],"",0,)</f>
        <v/>
      </c>
      <c r="C89" s="63">
        <f>IF(TournamentData[[#This Row],[Team Number]]="","",_xlfn.XLOOKUP(TournamentData[[#This Row],[Team Number]],RobotGameScores[Team Number],RobotGameScores[Robot Game 1 Score],0,0,))</f>
        <v>0</v>
      </c>
      <c r="D89" s="63">
        <f>IF(TournamentData[[#This Row],[Team Number]]="","",_xlfn.XLOOKUP(TournamentData[[#This Row],[Team Number]],RobotGameScores[Team Number],RobotGameScores[Robot Game 2 Score],0,0,))</f>
        <v>0</v>
      </c>
      <c r="E89" s="63">
        <f>IF(TournamentData[[#This Row],[Team Number]]="","",_xlfn.XLOOKUP(TournamentData[[#This Row],[Team Number]],RobotGameScores[Team Number],RobotGameScores[Robot Game 3 Score],0,0,))</f>
        <v>0</v>
      </c>
      <c r="F89" s="63">
        <f>IF(TournamentData[[#This Row],[Team Number]]="","",_xlfn.XLOOKUP(TournamentData[[#This Row],[Team Number]],RobotGameScores[Team Number],RobotGameScores[Robot Game 4 Score],0,0,))</f>
        <v>0</v>
      </c>
      <c r="G89" s="63">
        <f>IF(TournamentData[[#This Row],[Team Number]]="","",_xlfn.XLOOKUP(TournamentData[[#This Row],[Team Number]],RobotGameScores[Team Number],RobotGameScores[Robot Game 5 Score],0,0,))</f>
        <v>0</v>
      </c>
      <c r="H89"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89" s="63">
        <f>IF(TournamentData[[#This Row],[Team Number]]="","",_xlfn.RANK.EQ(TournamentData[[#This Row],[Max Robot Game Score]],TournamentData[Max Robot Game Score]))</f>
        <v>1</v>
      </c>
      <c r="J89" s="63">
        <f>IF(TournamentData[[#This Row],[Team Number]]="","",_xlfn.XLOOKUP(TournamentData[[#This Row],[Team Number]],CoreValuesResults[Team Number],CoreValuesResults[Core Values Rank],NumberOfTeams+1,0,))</f>
        <v>1</v>
      </c>
      <c r="K89" s="63">
        <f>IF(TournamentData[[#This Row],[Team Number]]="","",_xlfn.XLOOKUP(TournamentData[[#This Row],[Team Number]],InnovationProjectResults[Team Number],InnovationProjectResults[Innovation Project Rank],NumberOfTeams+1,0,))</f>
        <v>1</v>
      </c>
      <c r="L89" s="63">
        <f>IF(TournamentData[[#This Row],[Team Number]]="","",_xlfn.XLOOKUP(TournamentData[[#This Row],[Team Number]],RobotDesignResults[Team Number],RobotDesignResults[Robot Design Rank],NumberOfTeams+1,0,))</f>
        <v>1</v>
      </c>
      <c r="M89"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89" s="64">
        <f>IF(TournamentData[[#This Row],[Team Number]]="","",IF(M89,RANK(M89,M$3:M$202,1)-COUNTIF(M$3:M$202,0),NumberOfTeams+1))</f>
        <v>1</v>
      </c>
      <c r="O89" s="70">
        <f>_xlfn.XLOOKUP(TournamentData[[#This Row],[Team Number]],CoreValuesResults[Team Number],CoreValuesResults[Breakthrough Selection],0,0,)</f>
        <v>0</v>
      </c>
      <c r="P89" s="70">
        <f>_xlfn.XLOOKUP(TournamentData[[#This Row],[Team Number]],CoreValuesResults[Team Number],CoreValuesResults[Rising All-Star Selection],0,0,)</f>
        <v>0</v>
      </c>
      <c r="Q89" s="70">
        <f>_xlfn.XLOOKUP(TournamentData[[#This Row],[Team Number]],CoreValuesResults[Team Number],CoreValuesResults[Motivate Selection],0,0,)</f>
        <v>0</v>
      </c>
      <c r="R89" s="66"/>
      <c r="S89" s="66"/>
      <c r="T89" s="67"/>
      <c r="U89" s="63">
        <f>_xlfn.XLOOKUP(TournamentData[[#This Row],[Team Number]],CoreValuesResults[Team Number],CoreValuesResults[Core Values Score],0,0,)</f>
        <v>0</v>
      </c>
      <c r="V89" s="63">
        <f>_xlfn.XLOOKUP(TournamentData[[#This Row],[Team Number]],InnovationProjectResults[Team Number],InnovationProjectResults[Innovation Project Score],0,0,)</f>
        <v>0</v>
      </c>
      <c r="W89" s="63">
        <f>_xlfn.XLOOKUP(TournamentData[[#This Row],[Team Number]],RobotDesignResults[Team Number],RobotDesignResults[Robot Design Score],0,0,)</f>
        <v>0</v>
      </c>
      <c r="X89"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89" s="69">
        <f t="shared" si="2"/>
        <v>0</v>
      </c>
      <c r="Z89" s="66"/>
    </row>
    <row r="90" spans="1:26" ht="21" customHeight="1" x14ac:dyDescent="0.45">
      <c r="A90">
        <f>_xlfn.XLOOKUP(88,OfficialTeamList[Row],OfficialTeamList[Team Number],"ERROR",0)</f>
        <v>0</v>
      </c>
      <c r="B90" s="62" t="str">
        <f>_xlfn.XLOOKUP(TournamentData[[#This Row],[Team Number]],OfficialTeamList[Team Number],OfficialTeamList[Team Name],"",0,)</f>
        <v/>
      </c>
      <c r="C90" s="63">
        <f>IF(TournamentData[[#This Row],[Team Number]]="","",_xlfn.XLOOKUP(TournamentData[[#This Row],[Team Number]],RobotGameScores[Team Number],RobotGameScores[Robot Game 1 Score],0,0,))</f>
        <v>0</v>
      </c>
      <c r="D90" s="63">
        <f>IF(TournamentData[[#This Row],[Team Number]]="","",_xlfn.XLOOKUP(TournamentData[[#This Row],[Team Number]],RobotGameScores[Team Number],RobotGameScores[Robot Game 2 Score],0,0,))</f>
        <v>0</v>
      </c>
      <c r="E90" s="63">
        <f>IF(TournamentData[[#This Row],[Team Number]]="","",_xlfn.XLOOKUP(TournamentData[[#This Row],[Team Number]],RobotGameScores[Team Number],RobotGameScores[Robot Game 3 Score],0,0,))</f>
        <v>0</v>
      </c>
      <c r="F90" s="63">
        <f>IF(TournamentData[[#This Row],[Team Number]]="","",_xlfn.XLOOKUP(TournamentData[[#This Row],[Team Number]],RobotGameScores[Team Number],RobotGameScores[Robot Game 4 Score],0,0,))</f>
        <v>0</v>
      </c>
      <c r="G90" s="63">
        <f>IF(TournamentData[[#This Row],[Team Number]]="","",_xlfn.XLOOKUP(TournamentData[[#This Row],[Team Number]],RobotGameScores[Team Number],RobotGameScores[Robot Game 5 Score],0,0,))</f>
        <v>0</v>
      </c>
      <c r="H90"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90" s="63">
        <f>IF(TournamentData[[#This Row],[Team Number]]="","",_xlfn.RANK.EQ(TournamentData[[#This Row],[Max Robot Game Score]],TournamentData[Max Robot Game Score]))</f>
        <v>1</v>
      </c>
      <c r="J90" s="63">
        <f>IF(TournamentData[[#This Row],[Team Number]]="","",_xlfn.XLOOKUP(TournamentData[[#This Row],[Team Number]],CoreValuesResults[Team Number],CoreValuesResults[Core Values Rank],NumberOfTeams+1,0,))</f>
        <v>1</v>
      </c>
      <c r="K90" s="63">
        <f>IF(TournamentData[[#This Row],[Team Number]]="","",_xlfn.XLOOKUP(TournamentData[[#This Row],[Team Number]],InnovationProjectResults[Team Number],InnovationProjectResults[Innovation Project Rank],NumberOfTeams+1,0,))</f>
        <v>1</v>
      </c>
      <c r="L90" s="63">
        <f>IF(TournamentData[[#This Row],[Team Number]]="","",_xlfn.XLOOKUP(TournamentData[[#This Row],[Team Number]],RobotDesignResults[Team Number],RobotDesignResults[Robot Design Rank],NumberOfTeams+1,0,))</f>
        <v>1</v>
      </c>
      <c r="M90"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90" s="64">
        <f>IF(TournamentData[[#This Row],[Team Number]]="","",IF(M90,RANK(M90,M$3:M$202,1)-COUNTIF(M$3:M$202,0),NumberOfTeams+1))</f>
        <v>1</v>
      </c>
      <c r="O90" s="70">
        <f>_xlfn.XLOOKUP(TournamentData[[#This Row],[Team Number]],CoreValuesResults[Team Number],CoreValuesResults[Breakthrough Selection],0,0,)</f>
        <v>0</v>
      </c>
      <c r="P90" s="70">
        <f>_xlfn.XLOOKUP(TournamentData[[#This Row],[Team Number]],CoreValuesResults[Team Number],CoreValuesResults[Rising All-Star Selection],0,0,)</f>
        <v>0</v>
      </c>
      <c r="Q90" s="70">
        <f>_xlfn.XLOOKUP(TournamentData[[#This Row],[Team Number]],CoreValuesResults[Team Number],CoreValuesResults[Motivate Selection],0,0,)</f>
        <v>0</v>
      </c>
      <c r="R90" s="66"/>
      <c r="S90" s="66"/>
      <c r="T90" s="67"/>
      <c r="U90" s="63">
        <f>_xlfn.XLOOKUP(TournamentData[[#This Row],[Team Number]],CoreValuesResults[Team Number],CoreValuesResults[Core Values Score],0,0,)</f>
        <v>0</v>
      </c>
      <c r="V90" s="63">
        <f>_xlfn.XLOOKUP(TournamentData[[#This Row],[Team Number]],InnovationProjectResults[Team Number],InnovationProjectResults[Innovation Project Score],0,0,)</f>
        <v>0</v>
      </c>
      <c r="W90" s="63">
        <f>_xlfn.XLOOKUP(TournamentData[[#This Row],[Team Number]],RobotDesignResults[Team Number],RobotDesignResults[Robot Design Score],0,0,)</f>
        <v>0</v>
      </c>
      <c r="X90"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90" s="69">
        <f t="shared" si="2"/>
        <v>0</v>
      </c>
      <c r="Z90" s="66"/>
    </row>
    <row r="91" spans="1:26" ht="21" customHeight="1" x14ac:dyDescent="0.45">
      <c r="A91">
        <f>_xlfn.XLOOKUP(89,OfficialTeamList[Row],OfficialTeamList[Team Number],"ERROR",0)</f>
        <v>0</v>
      </c>
      <c r="B91" s="62" t="str">
        <f>_xlfn.XLOOKUP(TournamentData[[#This Row],[Team Number]],OfficialTeamList[Team Number],OfficialTeamList[Team Name],"",0,)</f>
        <v/>
      </c>
      <c r="C91" s="63">
        <f>IF(TournamentData[[#This Row],[Team Number]]="","",_xlfn.XLOOKUP(TournamentData[[#This Row],[Team Number]],RobotGameScores[Team Number],RobotGameScores[Robot Game 1 Score],0,0,))</f>
        <v>0</v>
      </c>
      <c r="D91" s="63">
        <f>IF(TournamentData[[#This Row],[Team Number]]="","",_xlfn.XLOOKUP(TournamentData[[#This Row],[Team Number]],RobotGameScores[Team Number],RobotGameScores[Robot Game 2 Score],0,0,))</f>
        <v>0</v>
      </c>
      <c r="E91" s="63">
        <f>IF(TournamentData[[#This Row],[Team Number]]="","",_xlfn.XLOOKUP(TournamentData[[#This Row],[Team Number]],RobotGameScores[Team Number],RobotGameScores[Robot Game 3 Score],0,0,))</f>
        <v>0</v>
      </c>
      <c r="F91" s="63">
        <f>IF(TournamentData[[#This Row],[Team Number]]="","",_xlfn.XLOOKUP(TournamentData[[#This Row],[Team Number]],RobotGameScores[Team Number],RobotGameScores[Robot Game 4 Score],0,0,))</f>
        <v>0</v>
      </c>
      <c r="G91" s="63">
        <f>IF(TournamentData[[#This Row],[Team Number]]="","",_xlfn.XLOOKUP(TournamentData[[#This Row],[Team Number]],RobotGameScores[Team Number],RobotGameScores[Robot Game 5 Score],0,0,))</f>
        <v>0</v>
      </c>
      <c r="H91"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91" s="63">
        <f>IF(TournamentData[[#This Row],[Team Number]]="","",_xlfn.RANK.EQ(TournamentData[[#This Row],[Max Robot Game Score]],TournamentData[Max Robot Game Score]))</f>
        <v>1</v>
      </c>
      <c r="J91" s="63">
        <f>IF(TournamentData[[#This Row],[Team Number]]="","",_xlfn.XLOOKUP(TournamentData[[#This Row],[Team Number]],CoreValuesResults[Team Number],CoreValuesResults[Core Values Rank],NumberOfTeams+1,0,))</f>
        <v>1</v>
      </c>
      <c r="K91" s="63">
        <f>IF(TournamentData[[#This Row],[Team Number]]="","",_xlfn.XLOOKUP(TournamentData[[#This Row],[Team Number]],InnovationProjectResults[Team Number],InnovationProjectResults[Innovation Project Rank],NumberOfTeams+1,0,))</f>
        <v>1</v>
      </c>
      <c r="L91" s="63">
        <f>IF(TournamentData[[#This Row],[Team Number]]="","",_xlfn.XLOOKUP(TournamentData[[#This Row],[Team Number]],RobotDesignResults[Team Number],RobotDesignResults[Robot Design Rank],NumberOfTeams+1,0,))</f>
        <v>1</v>
      </c>
      <c r="M91"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91" s="64">
        <f>IF(TournamentData[[#This Row],[Team Number]]="","",IF(M91,RANK(M91,M$3:M$202,1)-COUNTIF(M$3:M$202,0),NumberOfTeams+1))</f>
        <v>1</v>
      </c>
      <c r="O91" s="70">
        <f>_xlfn.XLOOKUP(TournamentData[[#This Row],[Team Number]],CoreValuesResults[Team Number],CoreValuesResults[Breakthrough Selection],0,0,)</f>
        <v>0</v>
      </c>
      <c r="P91" s="70">
        <f>_xlfn.XLOOKUP(TournamentData[[#This Row],[Team Number]],CoreValuesResults[Team Number],CoreValuesResults[Rising All-Star Selection],0,0,)</f>
        <v>0</v>
      </c>
      <c r="Q91" s="70">
        <f>_xlfn.XLOOKUP(TournamentData[[#This Row],[Team Number]],CoreValuesResults[Team Number],CoreValuesResults[Motivate Selection],0,0,)</f>
        <v>0</v>
      </c>
      <c r="R91" s="66"/>
      <c r="S91" s="66"/>
      <c r="T91" s="67"/>
      <c r="U91" s="63">
        <f>_xlfn.XLOOKUP(TournamentData[[#This Row],[Team Number]],CoreValuesResults[Team Number],CoreValuesResults[Core Values Score],0,0,)</f>
        <v>0</v>
      </c>
      <c r="V91" s="63">
        <f>_xlfn.XLOOKUP(TournamentData[[#This Row],[Team Number]],InnovationProjectResults[Team Number],InnovationProjectResults[Innovation Project Score],0,0,)</f>
        <v>0</v>
      </c>
      <c r="W91" s="63">
        <f>_xlfn.XLOOKUP(TournamentData[[#This Row],[Team Number]],RobotDesignResults[Team Number],RobotDesignResults[Robot Design Score],0,0,)</f>
        <v>0</v>
      </c>
      <c r="X91"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91" s="69">
        <f t="shared" si="2"/>
        <v>0</v>
      </c>
      <c r="Z91" s="66"/>
    </row>
    <row r="92" spans="1:26" ht="21" customHeight="1" x14ac:dyDescent="0.45">
      <c r="A92">
        <f>_xlfn.XLOOKUP(90,OfficialTeamList[Row],OfficialTeamList[Team Number],"ERROR",0)</f>
        <v>0</v>
      </c>
      <c r="B92" s="62" t="str">
        <f>_xlfn.XLOOKUP(TournamentData[[#This Row],[Team Number]],OfficialTeamList[Team Number],OfficialTeamList[Team Name],"",0,)</f>
        <v/>
      </c>
      <c r="C92" s="63">
        <f>IF(TournamentData[[#This Row],[Team Number]]="","",_xlfn.XLOOKUP(TournamentData[[#This Row],[Team Number]],RobotGameScores[Team Number],RobotGameScores[Robot Game 1 Score],0,0,))</f>
        <v>0</v>
      </c>
      <c r="D92" s="63">
        <f>IF(TournamentData[[#This Row],[Team Number]]="","",_xlfn.XLOOKUP(TournamentData[[#This Row],[Team Number]],RobotGameScores[Team Number],RobotGameScores[Robot Game 2 Score],0,0,))</f>
        <v>0</v>
      </c>
      <c r="E92" s="63">
        <f>IF(TournamentData[[#This Row],[Team Number]]="","",_xlfn.XLOOKUP(TournamentData[[#This Row],[Team Number]],RobotGameScores[Team Number],RobotGameScores[Robot Game 3 Score],0,0,))</f>
        <v>0</v>
      </c>
      <c r="F92" s="63">
        <f>IF(TournamentData[[#This Row],[Team Number]]="","",_xlfn.XLOOKUP(TournamentData[[#This Row],[Team Number]],RobotGameScores[Team Number],RobotGameScores[Robot Game 4 Score],0,0,))</f>
        <v>0</v>
      </c>
      <c r="G92" s="63">
        <f>IF(TournamentData[[#This Row],[Team Number]]="","",_xlfn.XLOOKUP(TournamentData[[#This Row],[Team Number]],RobotGameScores[Team Number],RobotGameScores[Robot Game 5 Score],0,0,))</f>
        <v>0</v>
      </c>
      <c r="H92"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92" s="63">
        <f>IF(TournamentData[[#This Row],[Team Number]]="","",_xlfn.RANK.EQ(TournamentData[[#This Row],[Max Robot Game Score]],TournamentData[Max Robot Game Score]))</f>
        <v>1</v>
      </c>
      <c r="J92" s="63">
        <f>IF(TournamentData[[#This Row],[Team Number]]="","",_xlfn.XLOOKUP(TournamentData[[#This Row],[Team Number]],CoreValuesResults[Team Number],CoreValuesResults[Core Values Rank],NumberOfTeams+1,0,))</f>
        <v>1</v>
      </c>
      <c r="K92" s="63">
        <f>IF(TournamentData[[#This Row],[Team Number]]="","",_xlfn.XLOOKUP(TournamentData[[#This Row],[Team Number]],InnovationProjectResults[Team Number],InnovationProjectResults[Innovation Project Rank],NumberOfTeams+1,0,))</f>
        <v>1</v>
      </c>
      <c r="L92" s="63">
        <f>IF(TournamentData[[#This Row],[Team Number]]="","",_xlfn.XLOOKUP(TournamentData[[#This Row],[Team Number]],RobotDesignResults[Team Number],RobotDesignResults[Robot Design Rank],NumberOfTeams+1,0,))</f>
        <v>1</v>
      </c>
      <c r="M92"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92" s="64">
        <f>IF(TournamentData[[#This Row],[Team Number]]="","",IF(M92,RANK(M92,M$3:M$202,1)-COUNTIF(M$3:M$202,0),NumberOfTeams+1))</f>
        <v>1</v>
      </c>
      <c r="O92" s="70">
        <f>_xlfn.XLOOKUP(TournamentData[[#This Row],[Team Number]],CoreValuesResults[Team Number],CoreValuesResults[Breakthrough Selection],0,0,)</f>
        <v>0</v>
      </c>
      <c r="P92" s="70">
        <f>_xlfn.XLOOKUP(TournamentData[[#This Row],[Team Number]],CoreValuesResults[Team Number],CoreValuesResults[Rising All-Star Selection],0,0,)</f>
        <v>0</v>
      </c>
      <c r="Q92" s="70">
        <f>_xlfn.XLOOKUP(TournamentData[[#This Row],[Team Number]],CoreValuesResults[Team Number],CoreValuesResults[Motivate Selection],0,0,)</f>
        <v>0</v>
      </c>
      <c r="R92" s="66"/>
      <c r="S92" s="66"/>
      <c r="T92" s="67"/>
      <c r="U92" s="63">
        <f>_xlfn.XLOOKUP(TournamentData[[#This Row],[Team Number]],CoreValuesResults[Team Number],CoreValuesResults[Core Values Score],0,0,)</f>
        <v>0</v>
      </c>
      <c r="V92" s="63">
        <f>_xlfn.XLOOKUP(TournamentData[[#This Row],[Team Number]],InnovationProjectResults[Team Number],InnovationProjectResults[Innovation Project Score],0,0,)</f>
        <v>0</v>
      </c>
      <c r="W92" s="63">
        <f>_xlfn.XLOOKUP(TournamentData[[#This Row],[Team Number]],RobotDesignResults[Team Number],RobotDesignResults[Robot Design Score],0,0,)</f>
        <v>0</v>
      </c>
      <c r="X92"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92" s="69">
        <f t="shared" si="2"/>
        <v>0</v>
      </c>
      <c r="Z92" s="66"/>
    </row>
    <row r="93" spans="1:26" ht="21" customHeight="1" x14ac:dyDescent="0.45">
      <c r="A93">
        <f>_xlfn.XLOOKUP(91,OfficialTeamList[Row],OfficialTeamList[Team Number],"ERROR",0)</f>
        <v>0</v>
      </c>
      <c r="B93" s="62" t="str">
        <f>_xlfn.XLOOKUP(TournamentData[[#This Row],[Team Number]],OfficialTeamList[Team Number],OfficialTeamList[Team Name],"",0,)</f>
        <v/>
      </c>
      <c r="C93" s="63">
        <f>IF(TournamentData[[#This Row],[Team Number]]="","",_xlfn.XLOOKUP(TournamentData[[#This Row],[Team Number]],RobotGameScores[Team Number],RobotGameScores[Robot Game 1 Score],0,0,))</f>
        <v>0</v>
      </c>
      <c r="D93" s="63">
        <f>IF(TournamentData[[#This Row],[Team Number]]="","",_xlfn.XLOOKUP(TournamentData[[#This Row],[Team Number]],RobotGameScores[Team Number],RobotGameScores[Robot Game 2 Score],0,0,))</f>
        <v>0</v>
      </c>
      <c r="E93" s="63">
        <f>IF(TournamentData[[#This Row],[Team Number]]="","",_xlfn.XLOOKUP(TournamentData[[#This Row],[Team Number]],RobotGameScores[Team Number],RobotGameScores[Robot Game 3 Score],0,0,))</f>
        <v>0</v>
      </c>
      <c r="F93" s="63">
        <f>IF(TournamentData[[#This Row],[Team Number]]="","",_xlfn.XLOOKUP(TournamentData[[#This Row],[Team Number]],RobotGameScores[Team Number],RobotGameScores[Robot Game 4 Score],0,0,))</f>
        <v>0</v>
      </c>
      <c r="G93" s="63">
        <f>IF(TournamentData[[#This Row],[Team Number]]="","",_xlfn.XLOOKUP(TournamentData[[#This Row],[Team Number]],RobotGameScores[Team Number],RobotGameScores[Robot Game 5 Score],0,0,))</f>
        <v>0</v>
      </c>
      <c r="H93"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93" s="63">
        <f>IF(TournamentData[[#This Row],[Team Number]]="","",_xlfn.RANK.EQ(TournamentData[[#This Row],[Max Robot Game Score]],TournamentData[Max Robot Game Score]))</f>
        <v>1</v>
      </c>
      <c r="J93" s="63">
        <f>IF(TournamentData[[#This Row],[Team Number]]="","",_xlfn.XLOOKUP(TournamentData[[#This Row],[Team Number]],CoreValuesResults[Team Number],CoreValuesResults[Core Values Rank],NumberOfTeams+1,0,))</f>
        <v>1</v>
      </c>
      <c r="K93" s="63">
        <f>IF(TournamentData[[#This Row],[Team Number]]="","",_xlfn.XLOOKUP(TournamentData[[#This Row],[Team Number]],InnovationProjectResults[Team Number],InnovationProjectResults[Innovation Project Rank],NumberOfTeams+1,0,))</f>
        <v>1</v>
      </c>
      <c r="L93" s="63">
        <f>IF(TournamentData[[#This Row],[Team Number]]="","",_xlfn.XLOOKUP(TournamentData[[#This Row],[Team Number]],RobotDesignResults[Team Number],RobotDesignResults[Robot Design Rank],NumberOfTeams+1,0,))</f>
        <v>1</v>
      </c>
      <c r="M93"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93" s="64">
        <f>IF(TournamentData[[#This Row],[Team Number]]="","",IF(M93,RANK(M93,M$3:M$202,1)-COUNTIF(M$3:M$202,0),NumberOfTeams+1))</f>
        <v>1</v>
      </c>
      <c r="O93" s="70">
        <f>_xlfn.XLOOKUP(TournamentData[[#This Row],[Team Number]],CoreValuesResults[Team Number],CoreValuesResults[Breakthrough Selection],0,0,)</f>
        <v>0</v>
      </c>
      <c r="P93" s="70">
        <f>_xlfn.XLOOKUP(TournamentData[[#This Row],[Team Number]],CoreValuesResults[Team Number],CoreValuesResults[Rising All-Star Selection],0,0,)</f>
        <v>0</v>
      </c>
      <c r="Q93" s="70">
        <f>_xlfn.XLOOKUP(TournamentData[[#This Row],[Team Number]],CoreValuesResults[Team Number],CoreValuesResults[Motivate Selection],0,0,)</f>
        <v>0</v>
      </c>
      <c r="R93" s="66"/>
      <c r="S93" s="66"/>
      <c r="T93" s="67"/>
      <c r="U93" s="63">
        <f>_xlfn.XLOOKUP(TournamentData[[#This Row],[Team Number]],CoreValuesResults[Team Number],CoreValuesResults[Core Values Score],0,0,)</f>
        <v>0</v>
      </c>
      <c r="V93" s="63">
        <f>_xlfn.XLOOKUP(TournamentData[[#This Row],[Team Number]],InnovationProjectResults[Team Number],InnovationProjectResults[Innovation Project Score],0,0,)</f>
        <v>0</v>
      </c>
      <c r="W93" s="63">
        <f>_xlfn.XLOOKUP(TournamentData[[#This Row],[Team Number]],RobotDesignResults[Team Number],RobotDesignResults[Robot Design Score],0,0,)</f>
        <v>0</v>
      </c>
      <c r="X93"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93" s="69">
        <f t="shared" si="2"/>
        <v>0</v>
      </c>
      <c r="Z93" s="66"/>
    </row>
    <row r="94" spans="1:26" ht="21" customHeight="1" x14ac:dyDescent="0.45">
      <c r="A94">
        <f>_xlfn.XLOOKUP(92,OfficialTeamList[Row],OfficialTeamList[Team Number],"ERROR",0)</f>
        <v>0</v>
      </c>
      <c r="B94" s="62" t="str">
        <f>_xlfn.XLOOKUP(TournamentData[[#This Row],[Team Number]],OfficialTeamList[Team Number],OfficialTeamList[Team Name],"",0,)</f>
        <v/>
      </c>
      <c r="C94" s="63">
        <f>IF(TournamentData[[#This Row],[Team Number]]="","",_xlfn.XLOOKUP(TournamentData[[#This Row],[Team Number]],RobotGameScores[Team Number],RobotGameScores[Robot Game 1 Score],0,0,))</f>
        <v>0</v>
      </c>
      <c r="D94" s="63">
        <f>IF(TournamentData[[#This Row],[Team Number]]="","",_xlfn.XLOOKUP(TournamentData[[#This Row],[Team Number]],RobotGameScores[Team Number],RobotGameScores[Robot Game 2 Score],0,0,))</f>
        <v>0</v>
      </c>
      <c r="E94" s="63">
        <f>IF(TournamentData[[#This Row],[Team Number]]="","",_xlfn.XLOOKUP(TournamentData[[#This Row],[Team Number]],RobotGameScores[Team Number],RobotGameScores[Robot Game 3 Score],0,0,))</f>
        <v>0</v>
      </c>
      <c r="F94" s="63">
        <f>IF(TournamentData[[#This Row],[Team Number]]="","",_xlfn.XLOOKUP(TournamentData[[#This Row],[Team Number]],RobotGameScores[Team Number],RobotGameScores[Robot Game 4 Score],0,0,))</f>
        <v>0</v>
      </c>
      <c r="G94" s="63">
        <f>IF(TournamentData[[#This Row],[Team Number]]="","",_xlfn.XLOOKUP(TournamentData[[#This Row],[Team Number]],RobotGameScores[Team Number],RobotGameScores[Robot Game 5 Score],0,0,))</f>
        <v>0</v>
      </c>
      <c r="H94"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94" s="63">
        <f>IF(TournamentData[[#This Row],[Team Number]]="","",_xlfn.RANK.EQ(TournamentData[[#This Row],[Max Robot Game Score]],TournamentData[Max Robot Game Score]))</f>
        <v>1</v>
      </c>
      <c r="J94" s="63">
        <f>IF(TournamentData[[#This Row],[Team Number]]="","",_xlfn.XLOOKUP(TournamentData[[#This Row],[Team Number]],CoreValuesResults[Team Number],CoreValuesResults[Core Values Rank],NumberOfTeams+1,0,))</f>
        <v>1</v>
      </c>
      <c r="K94" s="63">
        <f>IF(TournamentData[[#This Row],[Team Number]]="","",_xlfn.XLOOKUP(TournamentData[[#This Row],[Team Number]],InnovationProjectResults[Team Number],InnovationProjectResults[Innovation Project Rank],NumberOfTeams+1,0,))</f>
        <v>1</v>
      </c>
      <c r="L94" s="63">
        <f>IF(TournamentData[[#This Row],[Team Number]]="","",_xlfn.XLOOKUP(TournamentData[[#This Row],[Team Number]],RobotDesignResults[Team Number],RobotDesignResults[Robot Design Rank],NumberOfTeams+1,0,))</f>
        <v>1</v>
      </c>
      <c r="M94"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94" s="64">
        <f>IF(TournamentData[[#This Row],[Team Number]]="","",IF(M94,RANK(M94,M$3:M$202,1)-COUNTIF(M$3:M$202,0),NumberOfTeams+1))</f>
        <v>1</v>
      </c>
      <c r="O94" s="70">
        <f>_xlfn.XLOOKUP(TournamentData[[#This Row],[Team Number]],CoreValuesResults[Team Number],CoreValuesResults[Breakthrough Selection],0,0,)</f>
        <v>0</v>
      </c>
      <c r="P94" s="70">
        <f>_xlfn.XLOOKUP(TournamentData[[#This Row],[Team Number]],CoreValuesResults[Team Number],CoreValuesResults[Rising All-Star Selection],0,0,)</f>
        <v>0</v>
      </c>
      <c r="Q94" s="70">
        <f>_xlfn.XLOOKUP(TournamentData[[#This Row],[Team Number]],CoreValuesResults[Team Number],CoreValuesResults[Motivate Selection],0,0,)</f>
        <v>0</v>
      </c>
      <c r="R94" s="66"/>
      <c r="S94" s="66"/>
      <c r="T94" s="67"/>
      <c r="U94" s="63">
        <f>_xlfn.XLOOKUP(TournamentData[[#This Row],[Team Number]],CoreValuesResults[Team Number],CoreValuesResults[Core Values Score],0,0,)</f>
        <v>0</v>
      </c>
      <c r="V94" s="63">
        <f>_xlfn.XLOOKUP(TournamentData[[#This Row],[Team Number]],InnovationProjectResults[Team Number],InnovationProjectResults[Innovation Project Score],0,0,)</f>
        <v>0</v>
      </c>
      <c r="W94" s="63">
        <f>_xlfn.XLOOKUP(TournamentData[[#This Row],[Team Number]],RobotDesignResults[Team Number],RobotDesignResults[Robot Design Score],0,0,)</f>
        <v>0</v>
      </c>
      <c r="X94"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94" s="69">
        <f t="shared" si="2"/>
        <v>0</v>
      </c>
      <c r="Z94" s="66"/>
    </row>
    <row r="95" spans="1:26" ht="21" customHeight="1" x14ac:dyDescent="0.45">
      <c r="A95">
        <f>_xlfn.XLOOKUP(93,OfficialTeamList[Row],OfficialTeamList[Team Number],"ERROR",0)</f>
        <v>0</v>
      </c>
      <c r="B95" s="62" t="str">
        <f>_xlfn.XLOOKUP(TournamentData[[#This Row],[Team Number]],OfficialTeamList[Team Number],OfficialTeamList[Team Name],"",0,)</f>
        <v/>
      </c>
      <c r="C95" s="63">
        <f>IF(TournamentData[[#This Row],[Team Number]]="","",_xlfn.XLOOKUP(TournamentData[[#This Row],[Team Number]],RobotGameScores[Team Number],RobotGameScores[Robot Game 1 Score],0,0,))</f>
        <v>0</v>
      </c>
      <c r="D95" s="63">
        <f>IF(TournamentData[[#This Row],[Team Number]]="","",_xlfn.XLOOKUP(TournamentData[[#This Row],[Team Number]],RobotGameScores[Team Number],RobotGameScores[Robot Game 2 Score],0,0,))</f>
        <v>0</v>
      </c>
      <c r="E95" s="63">
        <f>IF(TournamentData[[#This Row],[Team Number]]="","",_xlfn.XLOOKUP(TournamentData[[#This Row],[Team Number]],RobotGameScores[Team Number],RobotGameScores[Robot Game 3 Score],0,0,))</f>
        <v>0</v>
      </c>
      <c r="F95" s="63">
        <f>IF(TournamentData[[#This Row],[Team Number]]="","",_xlfn.XLOOKUP(TournamentData[[#This Row],[Team Number]],RobotGameScores[Team Number],RobotGameScores[Robot Game 4 Score],0,0,))</f>
        <v>0</v>
      </c>
      <c r="G95" s="63">
        <f>IF(TournamentData[[#This Row],[Team Number]]="","",_xlfn.XLOOKUP(TournamentData[[#This Row],[Team Number]],RobotGameScores[Team Number],RobotGameScores[Robot Game 5 Score],0,0,))</f>
        <v>0</v>
      </c>
      <c r="H95"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95" s="63">
        <f>IF(TournamentData[[#This Row],[Team Number]]="","",_xlfn.RANK.EQ(TournamentData[[#This Row],[Max Robot Game Score]],TournamentData[Max Robot Game Score]))</f>
        <v>1</v>
      </c>
      <c r="J95" s="63">
        <f>IF(TournamentData[[#This Row],[Team Number]]="","",_xlfn.XLOOKUP(TournamentData[[#This Row],[Team Number]],CoreValuesResults[Team Number],CoreValuesResults[Core Values Rank],NumberOfTeams+1,0,))</f>
        <v>1</v>
      </c>
      <c r="K95" s="63">
        <f>IF(TournamentData[[#This Row],[Team Number]]="","",_xlfn.XLOOKUP(TournamentData[[#This Row],[Team Number]],InnovationProjectResults[Team Number],InnovationProjectResults[Innovation Project Rank],NumberOfTeams+1,0,))</f>
        <v>1</v>
      </c>
      <c r="L95" s="63">
        <f>IF(TournamentData[[#This Row],[Team Number]]="","",_xlfn.XLOOKUP(TournamentData[[#This Row],[Team Number]],RobotDesignResults[Team Number],RobotDesignResults[Robot Design Rank],NumberOfTeams+1,0,))</f>
        <v>1</v>
      </c>
      <c r="M95"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95" s="64">
        <f>IF(TournamentData[[#This Row],[Team Number]]="","",IF(M95,RANK(M95,M$3:M$202,1)-COUNTIF(M$3:M$202,0),NumberOfTeams+1))</f>
        <v>1</v>
      </c>
      <c r="O95" s="70">
        <f>_xlfn.XLOOKUP(TournamentData[[#This Row],[Team Number]],CoreValuesResults[Team Number],CoreValuesResults[Breakthrough Selection],0,0,)</f>
        <v>0</v>
      </c>
      <c r="P95" s="70">
        <f>_xlfn.XLOOKUP(TournamentData[[#This Row],[Team Number]],CoreValuesResults[Team Number],CoreValuesResults[Rising All-Star Selection],0,0,)</f>
        <v>0</v>
      </c>
      <c r="Q95" s="70">
        <f>_xlfn.XLOOKUP(TournamentData[[#This Row],[Team Number]],CoreValuesResults[Team Number],CoreValuesResults[Motivate Selection],0,0,)</f>
        <v>0</v>
      </c>
      <c r="R95" s="66"/>
      <c r="S95" s="66"/>
      <c r="T95" s="67"/>
      <c r="U95" s="63">
        <f>_xlfn.XLOOKUP(TournamentData[[#This Row],[Team Number]],CoreValuesResults[Team Number],CoreValuesResults[Core Values Score],0,0,)</f>
        <v>0</v>
      </c>
      <c r="V95" s="63">
        <f>_xlfn.XLOOKUP(TournamentData[[#This Row],[Team Number]],InnovationProjectResults[Team Number],InnovationProjectResults[Innovation Project Score],0,0,)</f>
        <v>0</v>
      </c>
      <c r="W95" s="63">
        <f>_xlfn.XLOOKUP(TournamentData[[#This Row],[Team Number]],RobotDesignResults[Team Number],RobotDesignResults[Robot Design Score],0,0,)</f>
        <v>0</v>
      </c>
      <c r="X95"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95" s="69">
        <f t="shared" si="2"/>
        <v>0</v>
      </c>
      <c r="Z95" s="66"/>
    </row>
    <row r="96" spans="1:26" ht="21" customHeight="1" x14ac:dyDescent="0.45">
      <c r="A96">
        <f>_xlfn.XLOOKUP(94,OfficialTeamList[Row],OfficialTeamList[Team Number],"ERROR",0)</f>
        <v>0</v>
      </c>
      <c r="B96" s="62" t="str">
        <f>_xlfn.XLOOKUP(TournamentData[[#This Row],[Team Number]],OfficialTeamList[Team Number],OfficialTeamList[Team Name],"",0,)</f>
        <v/>
      </c>
      <c r="C96" s="63">
        <f>IF(TournamentData[[#This Row],[Team Number]]="","",_xlfn.XLOOKUP(TournamentData[[#This Row],[Team Number]],RobotGameScores[Team Number],RobotGameScores[Robot Game 1 Score],0,0,))</f>
        <v>0</v>
      </c>
      <c r="D96" s="63">
        <f>IF(TournamentData[[#This Row],[Team Number]]="","",_xlfn.XLOOKUP(TournamentData[[#This Row],[Team Number]],RobotGameScores[Team Number],RobotGameScores[Robot Game 2 Score],0,0,))</f>
        <v>0</v>
      </c>
      <c r="E96" s="63">
        <f>IF(TournamentData[[#This Row],[Team Number]]="","",_xlfn.XLOOKUP(TournamentData[[#This Row],[Team Number]],RobotGameScores[Team Number],RobotGameScores[Robot Game 3 Score],0,0,))</f>
        <v>0</v>
      </c>
      <c r="F96" s="63">
        <f>IF(TournamentData[[#This Row],[Team Number]]="","",_xlfn.XLOOKUP(TournamentData[[#This Row],[Team Number]],RobotGameScores[Team Number],RobotGameScores[Robot Game 4 Score],0,0,))</f>
        <v>0</v>
      </c>
      <c r="G96" s="63">
        <f>IF(TournamentData[[#This Row],[Team Number]]="","",_xlfn.XLOOKUP(TournamentData[[#This Row],[Team Number]],RobotGameScores[Team Number],RobotGameScores[Robot Game 5 Score],0,0,))</f>
        <v>0</v>
      </c>
      <c r="H96"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96" s="63">
        <f>IF(TournamentData[[#This Row],[Team Number]]="","",_xlfn.RANK.EQ(TournamentData[[#This Row],[Max Robot Game Score]],TournamentData[Max Robot Game Score]))</f>
        <v>1</v>
      </c>
      <c r="J96" s="63">
        <f>IF(TournamentData[[#This Row],[Team Number]]="","",_xlfn.XLOOKUP(TournamentData[[#This Row],[Team Number]],CoreValuesResults[Team Number],CoreValuesResults[Core Values Rank],NumberOfTeams+1,0,))</f>
        <v>1</v>
      </c>
      <c r="K96" s="63">
        <f>IF(TournamentData[[#This Row],[Team Number]]="","",_xlfn.XLOOKUP(TournamentData[[#This Row],[Team Number]],InnovationProjectResults[Team Number],InnovationProjectResults[Innovation Project Rank],NumberOfTeams+1,0,))</f>
        <v>1</v>
      </c>
      <c r="L96" s="63">
        <f>IF(TournamentData[[#This Row],[Team Number]]="","",_xlfn.XLOOKUP(TournamentData[[#This Row],[Team Number]],RobotDesignResults[Team Number],RobotDesignResults[Robot Design Rank],NumberOfTeams+1,0,))</f>
        <v>1</v>
      </c>
      <c r="M96"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96" s="64">
        <f>IF(TournamentData[[#This Row],[Team Number]]="","",IF(M96,RANK(M96,M$3:M$202,1)-COUNTIF(M$3:M$202,0),NumberOfTeams+1))</f>
        <v>1</v>
      </c>
      <c r="O96" s="70">
        <f>_xlfn.XLOOKUP(TournamentData[[#This Row],[Team Number]],CoreValuesResults[Team Number],CoreValuesResults[Breakthrough Selection],0,0,)</f>
        <v>0</v>
      </c>
      <c r="P96" s="70">
        <f>_xlfn.XLOOKUP(TournamentData[[#This Row],[Team Number]],CoreValuesResults[Team Number],CoreValuesResults[Rising All-Star Selection],0,0,)</f>
        <v>0</v>
      </c>
      <c r="Q96" s="70">
        <f>_xlfn.XLOOKUP(TournamentData[[#This Row],[Team Number]],CoreValuesResults[Team Number],CoreValuesResults[Motivate Selection],0,0,)</f>
        <v>0</v>
      </c>
      <c r="R96" s="66"/>
      <c r="S96" s="66"/>
      <c r="T96" s="67"/>
      <c r="U96" s="63">
        <f>_xlfn.XLOOKUP(TournamentData[[#This Row],[Team Number]],CoreValuesResults[Team Number],CoreValuesResults[Core Values Score],0,0,)</f>
        <v>0</v>
      </c>
      <c r="V96" s="63">
        <f>_xlfn.XLOOKUP(TournamentData[[#This Row],[Team Number]],InnovationProjectResults[Team Number],InnovationProjectResults[Innovation Project Score],0,0,)</f>
        <v>0</v>
      </c>
      <c r="W96" s="63">
        <f>_xlfn.XLOOKUP(TournamentData[[#This Row],[Team Number]],RobotDesignResults[Team Number],RobotDesignResults[Robot Design Score],0,0,)</f>
        <v>0</v>
      </c>
      <c r="X96"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96" s="69">
        <f t="shared" si="2"/>
        <v>0</v>
      </c>
      <c r="Z96" s="66"/>
    </row>
    <row r="97" spans="1:26" ht="21" customHeight="1" x14ac:dyDescent="0.45">
      <c r="A97">
        <f>_xlfn.XLOOKUP(95,OfficialTeamList[Row],OfficialTeamList[Team Number],"ERROR",0)</f>
        <v>0</v>
      </c>
      <c r="B97" s="62" t="str">
        <f>_xlfn.XLOOKUP(TournamentData[[#This Row],[Team Number]],OfficialTeamList[Team Number],OfficialTeamList[Team Name],"",0,)</f>
        <v/>
      </c>
      <c r="C97" s="63">
        <f>IF(TournamentData[[#This Row],[Team Number]]="","",_xlfn.XLOOKUP(TournamentData[[#This Row],[Team Number]],RobotGameScores[Team Number],RobotGameScores[Robot Game 1 Score],0,0,))</f>
        <v>0</v>
      </c>
      <c r="D97" s="63">
        <f>IF(TournamentData[[#This Row],[Team Number]]="","",_xlfn.XLOOKUP(TournamentData[[#This Row],[Team Number]],RobotGameScores[Team Number],RobotGameScores[Robot Game 2 Score],0,0,))</f>
        <v>0</v>
      </c>
      <c r="E97" s="63">
        <f>IF(TournamentData[[#This Row],[Team Number]]="","",_xlfn.XLOOKUP(TournamentData[[#This Row],[Team Number]],RobotGameScores[Team Number],RobotGameScores[Robot Game 3 Score],0,0,))</f>
        <v>0</v>
      </c>
      <c r="F97" s="63">
        <f>IF(TournamentData[[#This Row],[Team Number]]="","",_xlfn.XLOOKUP(TournamentData[[#This Row],[Team Number]],RobotGameScores[Team Number],RobotGameScores[Robot Game 4 Score],0,0,))</f>
        <v>0</v>
      </c>
      <c r="G97" s="63">
        <f>IF(TournamentData[[#This Row],[Team Number]]="","",_xlfn.XLOOKUP(TournamentData[[#This Row],[Team Number]],RobotGameScores[Team Number],RobotGameScores[Robot Game 5 Score],0,0,))</f>
        <v>0</v>
      </c>
      <c r="H97"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97" s="63">
        <f>IF(TournamentData[[#This Row],[Team Number]]="","",_xlfn.RANK.EQ(TournamentData[[#This Row],[Max Robot Game Score]],TournamentData[Max Robot Game Score]))</f>
        <v>1</v>
      </c>
      <c r="J97" s="63">
        <f>IF(TournamentData[[#This Row],[Team Number]]="","",_xlfn.XLOOKUP(TournamentData[[#This Row],[Team Number]],CoreValuesResults[Team Number],CoreValuesResults[Core Values Rank],NumberOfTeams+1,0,))</f>
        <v>1</v>
      </c>
      <c r="K97" s="63">
        <f>IF(TournamentData[[#This Row],[Team Number]]="","",_xlfn.XLOOKUP(TournamentData[[#This Row],[Team Number]],InnovationProjectResults[Team Number],InnovationProjectResults[Innovation Project Rank],NumberOfTeams+1,0,))</f>
        <v>1</v>
      </c>
      <c r="L97" s="63">
        <f>IF(TournamentData[[#This Row],[Team Number]]="","",_xlfn.XLOOKUP(TournamentData[[#This Row],[Team Number]],RobotDesignResults[Team Number],RobotDesignResults[Robot Design Rank],NumberOfTeams+1,0,))</f>
        <v>1</v>
      </c>
      <c r="M97"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97" s="64">
        <f>IF(TournamentData[[#This Row],[Team Number]]="","",IF(M97,RANK(M97,M$3:M$202,1)-COUNTIF(M$3:M$202,0),NumberOfTeams+1))</f>
        <v>1</v>
      </c>
      <c r="O97" s="70">
        <f>_xlfn.XLOOKUP(TournamentData[[#This Row],[Team Number]],CoreValuesResults[Team Number],CoreValuesResults[Breakthrough Selection],0,0,)</f>
        <v>0</v>
      </c>
      <c r="P97" s="70">
        <f>_xlfn.XLOOKUP(TournamentData[[#This Row],[Team Number]],CoreValuesResults[Team Number],CoreValuesResults[Rising All-Star Selection],0,0,)</f>
        <v>0</v>
      </c>
      <c r="Q97" s="70">
        <f>_xlfn.XLOOKUP(TournamentData[[#This Row],[Team Number]],CoreValuesResults[Team Number],CoreValuesResults[Motivate Selection],0,0,)</f>
        <v>0</v>
      </c>
      <c r="R97" s="66"/>
      <c r="S97" s="66"/>
      <c r="T97" s="67"/>
      <c r="U97" s="63">
        <f>_xlfn.XLOOKUP(TournamentData[[#This Row],[Team Number]],CoreValuesResults[Team Number],CoreValuesResults[Core Values Score],0,0,)</f>
        <v>0</v>
      </c>
      <c r="V97" s="63">
        <f>_xlfn.XLOOKUP(TournamentData[[#This Row],[Team Number]],InnovationProjectResults[Team Number],InnovationProjectResults[Innovation Project Score],0,0,)</f>
        <v>0</v>
      </c>
      <c r="W97" s="63">
        <f>_xlfn.XLOOKUP(TournamentData[[#This Row],[Team Number]],RobotDesignResults[Team Number],RobotDesignResults[Robot Design Score],0,0,)</f>
        <v>0</v>
      </c>
      <c r="X97"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97" s="69">
        <f t="shared" si="2"/>
        <v>0</v>
      </c>
      <c r="Z97" s="66"/>
    </row>
    <row r="98" spans="1:26" ht="21" customHeight="1" x14ac:dyDescent="0.45">
      <c r="A98">
        <f>_xlfn.XLOOKUP(96,OfficialTeamList[Row],OfficialTeamList[Team Number],"ERROR",0)</f>
        <v>0</v>
      </c>
      <c r="B98" s="62" t="str">
        <f>_xlfn.XLOOKUP(TournamentData[[#This Row],[Team Number]],OfficialTeamList[Team Number],OfficialTeamList[Team Name],"",0,)</f>
        <v/>
      </c>
      <c r="C98" s="63">
        <f>IF(TournamentData[[#This Row],[Team Number]]="","",_xlfn.XLOOKUP(TournamentData[[#This Row],[Team Number]],RobotGameScores[Team Number],RobotGameScores[Robot Game 1 Score],0,0,))</f>
        <v>0</v>
      </c>
      <c r="D98" s="63">
        <f>IF(TournamentData[[#This Row],[Team Number]]="","",_xlfn.XLOOKUP(TournamentData[[#This Row],[Team Number]],RobotGameScores[Team Number],RobotGameScores[Robot Game 2 Score],0,0,))</f>
        <v>0</v>
      </c>
      <c r="E98" s="63">
        <f>IF(TournamentData[[#This Row],[Team Number]]="","",_xlfn.XLOOKUP(TournamentData[[#This Row],[Team Number]],RobotGameScores[Team Number],RobotGameScores[Robot Game 3 Score],0,0,))</f>
        <v>0</v>
      </c>
      <c r="F98" s="63">
        <f>IF(TournamentData[[#This Row],[Team Number]]="","",_xlfn.XLOOKUP(TournamentData[[#This Row],[Team Number]],RobotGameScores[Team Number],RobotGameScores[Robot Game 4 Score],0,0,))</f>
        <v>0</v>
      </c>
      <c r="G98" s="63">
        <f>IF(TournamentData[[#This Row],[Team Number]]="","",_xlfn.XLOOKUP(TournamentData[[#This Row],[Team Number]],RobotGameScores[Team Number],RobotGameScores[Robot Game 5 Score],0,0,))</f>
        <v>0</v>
      </c>
      <c r="H98"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98" s="63">
        <f>IF(TournamentData[[#This Row],[Team Number]]="","",_xlfn.RANK.EQ(TournamentData[[#This Row],[Max Robot Game Score]],TournamentData[Max Robot Game Score]))</f>
        <v>1</v>
      </c>
      <c r="J98" s="63">
        <f>IF(TournamentData[[#This Row],[Team Number]]="","",_xlfn.XLOOKUP(TournamentData[[#This Row],[Team Number]],CoreValuesResults[Team Number],CoreValuesResults[Core Values Rank],NumberOfTeams+1,0,))</f>
        <v>1</v>
      </c>
      <c r="K98" s="63">
        <f>IF(TournamentData[[#This Row],[Team Number]]="","",_xlfn.XLOOKUP(TournamentData[[#This Row],[Team Number]],InnovationProjectResults[Team Number],InnovationProjectResults[Innovation Project Rank],NumberOfTeams+1,0,))</f>
        <v>1</v>
      </c>
      <c r="L98" s="63">
        <f>IF(TournamentData[[#This Row],[Team Number]]="","",_xlfn.XLOOKUP(TournamentData[[#This Row],[Team Number]],RobotDesignResults[Team Number],RobotDesignResults[Robot Design Rank],NumberOfTeams+1,0,))</f>
        <v>1</v>
      </c>
      <c r="M98"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98" s="64">
        <f>IF(TournamentData[[#This Row],[Team Number]]="","",IF(M98,RANK(M98,M$3:M$202,1)-COUNTIF(M$3:M$202,0),NumberOfTeams+1))</f>
        <v>1</v>
      </c>
      <c r="O98" s="70">
        <f>_xlfn.XLOOKUP(TournamentData[[#This Row],[Team Number]],CoreValuesResults[Team Number],CoreValuesResults[Breakthrough Selection],0,0,)</f>
        <v>0</v>
      </c>
      <c r="P98" s="70">
        <f>_xlfn.XLOOKUP(TournamentData[[#This Row],[Team Number]],CoreValuesResults[Team Number],CoreValuesResults[Rising All-Star Selection],0,0,)</f>
        <v>0</v>
      </c>
      <c r="Q98" s="70">
        <f>_xlfn.XLOOKUP(TournamentData[[#This Row],[Team Number]],CoreValuesResults[Team Number],CoreValuesResults[Motivate Selection],0,0,)</f>
        <v>0</v>
      </c>
      <c r="R98" s="66"/>
      <c r="S98" s="66"/>
      <c r="T98" s="67"/>
      <c r="U98" s="63">
        <f>_xlfn.XLOOKUP(TournamentData[[#This Row],[Team Number]],CoreValuesResults[Team Number],CoreValuesResults[Core Values Score],0,0,)</f>
        <v>0</v>
      </c>
      <c r="V98" s="63">
        <f>_xlfn.XLOOKUP(TournamentData[[#This Row],[Team Number]],InnovationProjectResults[Team Number],InnovationProjectResults[Innovation Project Score],0,0,)</f>
        <v>0</v>
      </c>
      <c r="W98" s="63">
        <f>_xlfn.XLOOKUP(TournamentData[[#This Row],[Team Number]],RobotDesignResults[Team Number],RobotDesignResults[Robot Design Score],0,0,)</f>
        <v>0</v>
      </c>
      <c r="X98"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98" s="69">
        <f t="shared" si="2"/>
        <v>0</v>
      </c>
      <c r="Z98" s="66"/>
    </row>
    <row r="99" spans="1:26" ht="21" customHeight="1" x14ac:dyDescent="0.45">
      <c r="A99">
        <f>_xlfn.XLOOKUP(97,OfficialTeamList[Row],OfficialTeamList[Team Number],"ERROR",0)</f>
        <v>0</v>
      </c>
      <c r="B99" s="62" t="str">
        <f>_xlfn.XLOOKUP(TournamentData[[#This Row],[Team Number]],OfficialTeamList[Team Number],OfficialTeamList[Team Name],"",0,)</f>
        <v/>
      </c>
      <c r="C99" s="63">
        <f>IF(TournamentData[[#This Row],[Team Number]]="","",_xlfn.XLOOKUP(TournamentData[[#This Row],[Team Number]],RobotGameScores[Team Number],RobotGameScores[Robot Game 1 Score],0,0,))</f>
        <v>0</v>
      </c>
      <c r="D99" s="63">
        <f>IF(TournamentData[[#This Row],[Team Number]]="","",_xlfn.XLOOKUP(TournamentData[[#This Row],[Team Number]],RobotGameScores[Team Number],RobotGameScores[Robot Game 2 Score],0,0,))</f>
        <v>0</v>
      </c>
      <c r="E99" s="63">
        <f>IF(TournamentData[[#This Row],[Team Number]]="","",_xlfn.XLOOKUP(TournamentData[[#This Row],[Team Number]],RobotGameScores[Team Number],RobotGameScores[Robot Game 3 Score],0,0,))</f>
        <v>0</v>
      </c>
      <c r="F99" s="63">
        <f>IF(TournamentData[[#This Row],[Team Number]]="","",_xlfn.XLOOKUP(TournamentData[[#This Row],[Team Number]],RobotGameScores[Team Number],RobotGameScores[Robot Game 4 Score],0,0,))</f>
        <v>0</v>
      </c>
      <c r="G99" s="63">
        <f>IF(TournamentData[[#This Row],[Team Number]]="","",_xlfn.XLOOKUP(TournamentData[[#This Row],[Team Number]],RobotGameScores[Team Number],RobotGameScores[Robot Game 5 Score],0,0,))</f>
        <v>0</v>
      </c>
      <c r="H99"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99" s="63">
        <f>IF(TournamentData[[#This Row],[Team Number]]="","",_xlfn.RANK.EQ(TournamentData[[#This Row],[Max Robot Game Score]],TournamentData[Max Robot Game Score]))</f>
        <v>1</v>
      </c>
      <c r="J99" s="63">
        <f>IF(TournamentData[[#This Row],[Team Number]]="","",_xlfn.XLOOKUP(TournamentData[[#This Row],[Team Number]],CoreValuesResults[Team Number],CoreValuesResults[Core Values Rank],NumberOfTeams+1,0,))</f>
        <v>1</v>
      </c>
      <c r="K99" s="63">
        <f>IF(TournamentData[[#This Row],[Team Number]]="","",_xlfn.XLOOKUP(TournamentData[[#This Row],[Team Number]],InnovationProjectResults[Team Number],InnovationProjectResults[Innovation Project Rank],NumberOfTeams+1,0,))</f>
        <v>1</v>
      </c>
      <c r="L99" s="63">
        <f>IF(TournamentData[[#This Row],[Team Number]]="","",_xlfn.XLOOKUP(TournamentData[[#This Row],[Team Number]],RobotDesignResults[Team Number],RobotDesignResults[Robot Design Rank],NumberOfTeams+1,0,))</f>
        <v>1</v>
      </c>
      <c r="M99"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99" s="64">
        <f>IF(TournamentData[[#This Row],[Team Number]]="","",IF(M99,RANK(M99,M$3:M$202,1)-COUNTIF(M$3:M$202,0),NumberOfTeams+1))</f>
        <v>1</v>
      </c>
      <c r="O99" s="70">
        <f>_xlfn.XLOOKUP(TournamentData[[#This Row],[Team Number]],CoreValuesResults[Team Number],CoreValuesResults[Breakthrough Selection],0,0,)</f>
        <v>0</v>
      </c>
      <c r="P99" s="70">
        <f>_xlfn.XLOOKUP(TournamentData[[#This Row],[Team Number]],CoreValuesResults[Team Number],CoreValuesResults[Rising All-Star Selection],0,0,)</f>
        <v>0</v>
      </c>
      <c r="Q99" s="70">
        <f>_xlfn.XLOOKUP(TournamentData[[#This Row],[Team Number]],CoreValuesResults[Team Number],CoreValuesResults[Motivate Selection],0,0,)</f>
        <v>0</v>
      </c>
      <c r="R99" s="66"/>
      <c r="S99" s="66"/>
      <c r="T99" s="67"/>
      <c r="U99" s="63">
        <f>_xlfn.XLOOKUP(TournamentData[[#This Row],[Team Number]],CoreValuesResults[Team Number],CoreValuesResults[Core Values Score],0,0,)</f>
        <v>0</v>
      </c>
      <c r="V99" s="63">
        <f>_xlfn.XLOOKUP(TournamentData[[#This Row],[Team Number]],InnovationProjectResults[Team Number],InnovationProjectResults[Innovation Project Score],0,0,)</f>
        <v>0</v>
      </c>
      <c r="W99" s="63">
        <f>_xlfn.XLOOKUP(TournamentData[[#This Row],[Team Number]],RobotDesignResults[Team Number],RobotDesignResults[Robot Design Score],0,0,)</f>
        <v>0</v>
      </c>
      <c r="X99"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99" s="69">
        <f t="shared" ref="Y99:Y130" si="3">IF(X99,_xlfn.RANK.EQ(X99,X$3:X$110,0),NumberOfTeams)</f>
        <v>0</v>
      </c>
      <c r="Z99" s="66"/>
    </row>
    <row r="100" spans="1:26" ht="21" customHeight="1" x14ac:dyDescent="0.45">
      <c r="A100">
        <f>_xlfn.XLOOKUP(98,OfficialTeamList[Row],OfficialTeamList[Team Number],"ERROR",0)</f>
        <v>0</v>
      </c>
      <c r="B100" s="62" t="str">
        <f>_xlfn.XLOOKUP(TournamentData[[#This Row],[Team Number]],OfficialTeamList[Team Number],OfficialTeamList[Team Name],"",0,)</f>
        <v/>
      </c>
      <c r="C100" s="63">
        <f>IF(TournamentData[[#This Row],[Team Number]]="","",_xlfn.XLOOKUP(TournamentData[[#This Row],[Team Number]],RobotGameScores[Team Number],RobotGameScores[Robot Game 1 Score],0,0,))</f>
        <v>0</v>
      </c>
      <c r="D100" s="63">
        <f>IF(TournamentData[[#This Row],[Team Number]]="","",_xlfn.XLOOKUP(TournamentData[[#This Row],[Team Number]],RobotGameScores[Team Number],RobotGameScores[Robot Game 2 Score],0,0,))</f>
        <v>0</v>
      </c>
      <c r="E100" s="63">
        <f>IF(TournamentData[[#This Row],[Team Number]]="","",_xlfn.XLOOKUP(TournamentData[[#This Row],[Team Number]],RobotGameScores[Team Number],RobotGameScores[Robot Game 3 Score],0,0,))</f>
        <v>0</v>
      </c>
      <c r="F100" s="63">
        <f>IF(TournamentData[[#This Row],[Team Number]]="","",_xlfn.XLOOKUP(TournamentData[[#This Row],[Team Number]],RobotGameScores[Team Number],RobotGameScores[Robot Game 4 Score],0,0,))</f>
        <v>0</v>
      </c>
      <c r="G100" s="63">
        <f>IF(TournamentData[[#This Row],[Team Number]]="","",_xlfn.XLOOKUP(TournamentData[[#This Row],[Team Number]],RobotGameScores[Team Number],RobotGameScores[Robot Game 5 Score],0,0,))</f>
        <v>0</v>
      </c>
      <c r="H100"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00" s="63">
        <f>IF(TournamentData[[#This Row],[Team Number]]="","",_xlfn.RANK.EQ(TournamentData[[#This Row],[Max Robot Game Score]],TournamentData[Max Robot Game Score]))</f>
        <v>1</v>
      </c>
      <c r="J100" s="63">
        <f>IF(TournamentData[[#This Row],[Team Number]]="","",_xlfn.XLOOKUP(TournamentData[[#This Row],[Team Number]],CoreValuesResults[Team Number],CoreValuesResults[Core Values Rank],NumberOfTeams+1,0,))</f>
        <v>1</v>
      </c>
      <c r="K100" s="63">
        <f>IF(TournamentData[[#This Row],[Team Number]]="","",_xlfn.XLOOKUP(TournamentData[[#This Row],[Team Number]],InnovationProjectResults[Team Number],InnovationProjectResults[Innovation Project Rank],NumberOfTeams+1,0,))</f>
        <v>1</v>
      </c>
      <c r="L100" s="63">
        <f>IF(TournamentData[[#This Row],[Team Number]]="","",_xlfn.XLOOKUP(TournamentData[[#This Row],[Team Number]],RobotDesignResults[Team Number],RobotDesignResults[Robot Design Rank],NumberOfTeams+1,0,))</f>
        <v>1</v>
      </c>
      <c r="M100"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00" s="64">
        <f>IF(TournamentData[[#This Row],[Team Number]]="","",IF(M100,RANK(M100,M$3:M$202,1)-COUNTIF(M$3:M$202,0),NumberOfTeams+1))</f>
        <v>1</v>
      </c>
      <c r="O100" s="70">
        <f>_xlfn.XLOOKUP(TournamentData[[#This Row],[Team Number]],CoreValuesResults[Team Number],CoreValuesResults[Breakthrough Selection],0,0,)</f>
        <v>0</v>
      </c>
      <c r="P100" s="70">
        <f>_xlfn.XLOOKUP(TournamentData[[#This Row],[Team Number]],CoreValuesResults[Team Number],CoreValuesResults[Rising All-Star Selection],0,0,)</f>
        <v>0</v>
      </c>
      <c r="Q100" s="70">
        <f>_xlfn.XLOOKUP(TournamentData[[#This Row],[Team Number]],CoreValuesResults[Team Number],CoreValuesResults[Motivate Selection],0,0,)</f>
        <v>0</v>
      </c>
      <c r="R100" s="66"/>
      <c r="S100" s="66"/>
      <c r="T100" s="67"/>
      <c r="U100" s="63">
        <f>_xlfn.XLOOKUP(TournamentData[[#This Row],[Team Number]],CoreValuesResults[Team Number],CoreValuesResults[Core Values Score],0,0,)</f>
        <v>0</v>
      </c>
      <c r="V100" s="63">
        <f>_xlfn.XLOOKUP(TournamentData[[#This Row],[Team Number]],InnovationProjectResults[Team Number],InnovationProjectResults[Innovation Project Score],0,0,)</f>
        <v>0</v>
      </c>
      <c r="W100" s="63">
        <f>_xlfn.XLOOKUP(TournamentData[[#This Row],[Team Number]],RobotDesignResults[Team Number],RobotDesignResults[Robot Design Score],0,0,)</f>
        <v>0</v>
      </c>
      <c r="X100"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00" s="69">
        <f t="shared" si="3"/>
        <v>0</v>
      </c>
      <c r="Z100" s="66"/>
    </row>
    <row r="101" spans="1:26" ht="21" customHeight="1" x14ac:dyDescent="0.45">
      <c r="A101">
        <f>_xlfn.XLOOKUP(99,OfficialTeamList[Row],OfficialTeamList[Team Number],"ERROR",0)</f>
        <v>0</v>
      </c>
      <c r="B101" s="62" t="str">
        <f>_xlfn.XLOOKUP(TournamentData[[#This Row],[Team Number]],OfficialTeamList[Team Number],OfficialTeamList[Team Name],"",0,)</f>
        <v/>
      </c>
      <c r="C101" s="63">
        <f>IF(TournamentData[[#This Row],[Team Number]]="","",_xlfn.XLOOKUP(TournamentData[[#This Row],[Team Number]],RobotGameScores[Team Number],RobotGameScores[Robot Game 1 Score],0,0,))</f>
        <v>0</v>
      </c>
      <c r="D101" s="63">
        <f>IF(TournamentData[[#This Row],[Team Number]]="","",_xlfn.XLOOKUP(TournamentData[[#This Row],[Team Number]],RobotGameScores[Team Number],RobotGameScores[Robot Game 2 Score],0,0,))</f>
        <v>0</v>
      </c>
      <c r="E101" s="63">
        <f>IF(TournamentData[[#This Row],[Team Number]]="","",_xlfn.XLOOKUP(TournamentData[[#This Row],[Team Number]],RobotGameScores[Team Number],RobotGameScores[Robot Game 3 Score],0,0,))</f>
        <v>0</v>
      </c>
      <c r="F101" s="63">
        <f>IF(TournamentData[[#This Row],[Team Number]]="","",_xlfn.XLOOKUP(TournamentData[[#This Row],[Team Number]],RobotGameScores[Team Number],RobotGameScores[Robot Game 4 Score],0,0,))</f>
        <v>0</v>
      </c>
      <c r="G101" s="63">
        <f>IF(TournamentData[[#This Row],[Team Number]]="","",_xlfn.XLOOKUP(TournamentData[[#This Row],[Team Number]],RobotGameScores[Team Number],RobotGameScores[Robot Game 5 Score],0,0,))</f>
        <v>0</v>
      </c>
      <c r="H101"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01" s="63">
        <f>IF(TournamentData[[#This Row],[Team Number]]="","",_xlfn.RANK.EQ(TournamentData[[#This Row],[Max Robot Game Score]],TournamentData[Max Robot Game Score]))</f>
        <v>1</v>
      </c>
      <c r="J101" s="63">
        <f>IF(TournamentData[[#This Row],[Team Number]]="","",_xlfn.XLOOKUP(TournamentData[[#This Row],[Team Number]],CoreValuesResults[Team Number],CoreValuesResults[Core Values Rank],NumberOfTeams+1,0,))</f>
        <v>1</v>
      </c>
      <c r="K101" s="63">
        <f>IF(TournamentData[[#This Row],[Team Number]]="","",_xlfn.XLOOKUP(TournamentData[[#This Row],[Team Number]],InnovationProjectResults[Team Number],InnovationProjectResults[Innovation Project Rank],NumberOfTeams+1,0,))</f>
        <v>1</v>
      </c>
      <c r="L101" s="63">
        <f>IF(TournamentData[[#This Row],[Team Number]]="","",_xlfn.XLOOKUP(TournamentData[[#This Row],[Team Number]],RobotDesignResults[Team Number],RobotDesignResults[Robot Design Rank],NumberOfTeams+1,0,))</f>
        <v>1</v>
      </c>
      <c r="M101"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01" s="64">
        <f>IF(TournamentData[[#This Row],[Team Number]]="","",IF(M101,RANK(M101,M$3:M$202,1)-COUNTIF(M$3:M$202,0),NumberOfTeams+1))</f>
        <v>1</v>
      </c>
      <c r="O101" s="70">
        <f>_xlfn.XLOOKUP(TournamentData[[#This Row],[Team Number]],CoreValuesResults[Team Number],CoreValuesResults[Breakthrough Selection],0,0,)</f>
        <v>0</v>
      </c>
      <c r="P101" s="70">
        <f>_xlfn.XLOOKUP(TournamentData[[#This Row],[Team Number]],CoreValuesResults[Team Number],CoreValuesResults[Rising All-Star Selection],0,0,)</f>
        <v>0</v>
      </c>
      <c r="Q101" s="70">
        <f>_xlfn.XLOOKUP(TournamentData[[#This Row],[Team Number]],CoreValuesResults[Team Number],CoreValuesResults[Motivate Selection],0,0,)</f>
        <v>0</v>
      </c>
      <c r="R101" s="66"/>
      <c r="S101" s="66"/>
      <c r="T101" s="67"/>
      <c r="U101" s="63">
        <f>_xlfn.XLOOKUP(TournamentData[[#This Row],[Team Number]],CoreValuesResults[Team Number],CoreValuesResults[Core Values Score],0,0,)</f>
        <v>0</v>
      </c>
      <c r="V101" s="63">
        <f>_xlfn.XLOOKUP(TournamentData[[#This Row],[Team Number]],InnovationProjectResults[Team Number],InnovationProjectResults[Innovation Project Score],0,0,)</f>
        <v>0</v>
      </c>
      <c r="W101" s="63">
        <f>_xlfn.XLOOKUP(TournamentData[[#This Row],[Team Number]],RobotDesignResults[Team Number],RobotDesignResults[Robot Design Score],0,0,)</f>
        <v>0</v>
      </c>
      <c r="X101"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01" s="69">
        <f t="shared" si="3"/>
        <v>0</v>
      </c>
      <c r="Z101" s="66"/>
    </row>
    <row r="102" spans="1:26" ht="21" customHeight="1" x14ac:dyDescent="0.45">
      <c r="A102">
        <f>_xlfn.XLOOKUP(100,OfficialTeamList[Row],OfficialTeamList[Team Number],"ERROR",0)</f>
        <v>0</v>
      </c>
      <c r="B102" s="62" t="str">
        <f>_xlfn.XLOOKUP(TournamentData[[#This Row],[Team Number]],OfficialTeamList[Team Number],OfficialTeamList[Team Name],"",0,)</f>
        <v/>
      </c>
      <c r="C102" s="63">
        <f>IF(TournamentData[[#This Row],[Team Number]]="","",_xlfn.XLOOKUP(TournamentData[[#This Row],[Team Number]],RobotGameScores[Team Number],RobotGameScores[Robot Game 1 Score],0,0,))</f>
        <v>0</v>
      </c>
      <c r="D102" s="63">
        <f>IF(TournamentData[[#This Row],[Team Number]]="","",_xlfn.XLOOKUP(TournamentData[[#This Row],[Team Number]],RobotGameScores[Team Number],RobotGameScores[Robot Game 2 Score],0,0,))</f>
        <v>0</v>
      </c>
      <c r="E102" s="63">
        <f>IF(TournamentData[[#This Row],[Team Number]]="","",_xlfn.XLOOKUP(TournamentData[[#This Row],[Team Number]],RobotGameScores[Team Number],RobotGameScores[Robot Game 3 Score],0,0,))</f>
        <v>0</v>
      </c>
      <c r="F102" s="63">
        <f>IF(TournamentData[[#This Row],[Team Number]]="","",_xlfn.XLOOKUP(TournamentData[[#This Row],[Team Number]],RobotGameScores[Team Number],RobotGameScores[Robot Game 4 Score],0,0,))</f>
        <v>0</v>
      </c>
      <c r="G102" s="63">
        <f>IF(TournamentData[[#This Row],[Team Number]]="","",_xlfn.XLOOKUP(TournamentData[[#This Row],[Team Number]],RobotGameScores[Team Number],RobotGameScores[Robot Game 5 Score],0,0,))</f>
        <v>0</v>
      </c>
      <c r="H102"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02" s="63">
        <f>IF(TournamentData[[#This Row],[Team Number]]="","",_xlfn.RANK.EQ(TournamentData[[#This Row],[Max Robot Game Score]],TournamentData[Max Robot Game Score]))</f>
        <v>1</v>
      </c>
      <c r="J102" s="63">
        <f>IF(TournamentData[[#This Row],[Team Number]]="","",_xlfn.XLOOKUP(TournamentData[[#This Row],[Team Number]],CoreValuesResults[Team Number],CoreValuesResults[Core Values Rank],NumberOfTeams+1,0,))</f>
        <v>1</v>
      </c>
      <c r="K102" s="63">
        <f>IF(TournamentData[[#This Row],[Team Number]]="","",_xlfn.XLOOKUP(TournamentData[[#This Row],[Team Number]],InnovationProjectResults[Team Number],InnovationProjectResults[Innovation Project Rank],NumberOfTeams+1,0,))</f>
        <v>1</v>
      </c>
      <c r="L102" s="63">
        <f>IF(TournamentData[[#This Row],[Team Number]]="","",_xlfn.XLOOKUP(TournamentData[[#This Row],[Team Number]],RobotDesignResults[Team Number],RobotDesignResults[Robot Design Rank],NumberOfTeams+1,0,))</f>
        <v>1</v>
      </c>
      <c r="M102"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02" s="64">
        <f>IF(TournamentData[[#This Row],[Team Number]]="","",IF(M102,RANK(M102,M$3:M$202,1)-COUNTIF(M$3:M$202,0),NumberOfTeams+1))</f>
        <v>1</v>
      </c>
      <c r="O102" s="70">
        <f>_xlfn.XLOOKUP(TournamentData[[#This Row],[Team Number]],CoreValuesResults[Team Number],CoreValuesResults[Breakthrough Selection],0,0,)</f>
        <v>0</v>
      </c>
      <c r="P102" s="70">
        <f>_xlfn.XLOOKUP(TournamentData[[#This Row],[Team Number]],CoreValuesResults[Team Number],CoreValuesResults[Rising All-Star Selection],0,0,)</f>
        <v>0</v>
      </c>
      <c r="Q102" s="70">
        <f>_xlfn.XLOOKUP(TournamentData[[#This Row],[Team Number]],CoreValuesResults[Team Number],CoreValuesResults[Motivate Selection],0,0,)</f>
        <v>0</v>
      </c>
      <c r="R102" s="66"/>
      <c r="S102" s="66"/>
      <c r="T102" s="67"/>
      <c r="U102" s="63">
        <f>_xlfn.XLOOKUP(TournamentData[[#This Row],[Team Number]],CoreValuesResults[Team Number],CoreValuesResults[Core Values Score],0,0,)</f>
        <v>0</v>
      </c>
      <c r="V102" s="63">
        <f>_xlfn.XLOOKUP(TournamentData[[#This Row],[Team Number]],InnovationProjectResults[Team Number],InnovationProjectResults[Innovation Project Score],0,0,)</f>
        <v>0</v>
      </c>
      <c r="W102" s="63">
        <f>_xlfn.XLOOKUP(TournamentData[[#This Row],[Team Number]],RobotDesignResults[Team Number],RobotDesignResults[Robot Design Score],0,0,)</f>
        <v>0</v>
      </c>
      <c r="X102"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02" s="69">
        <f t="shared" si="3"/>
        <v>0</v>
      </c>
      <c r="Z102" s="66"/>
    </row>
    <row r="103" spans="1:26" ht="21" customHeight="1" x14ac:dyDescent="0.45">
      <c r="A103">
        <f>_xlfn.XLOOKUP(101,OfficialTeamList[Row],OfficialTeamList[Team Number],"ERROR",0)</f>
        <v>0</v>
      </c>
      <c r="B103" s="62" t="str">
        <f>_xlfn.XLOOKUP(TournamentData[[#This Row],[Team Number]],OfficialTeamList[Team Number],OfficialTeamList[Team Name],"",0,)</f>
        <v/>
      </c>
      <c r="C103" s="63">
        <f>IF(TournamentData[[#This Row],[Team Number]]="","",_xlfn.XLOOKUP(TournamentData[[#This Row],[Team Number]],RobotGameScores[Team Number],RobotGameScores[Robot Game 1 Score],0,0,))</f>
        <v>0</v>
      </c>
      <c r="D103" s="63">
        <f>IF(TournamentData[[#This Row],[Team Number]]="","",_xlfn.XLOOKUP(TournamentData[[#This Row],[Team Number]],RobotGameScores[Team Number],RobotGameScores[Robot Game 2 Score],0,0,))</f>
        <v>0</v>
      </c>
      <c r="E103" s="63">
        <f>IF(TournamentData[[#This Row],[Team Number]]="","",_xlfn.XLOOKUP(TournamentData[[#This Row],[Team Number]],RobotGameScores[Team Number],RobotGameScores[Robot Game 3 Score],0,0,))</f>
        <v>0</v>
      </c>
      <c r="F103" s="63">
        <f>IF(TournamentData[[#This Row],[Team Number]]="","",_xlfn.XLOOKUP(TournamentData[[#This Row],[Team Number]],RobotGameScores[Team Number],RobotGameScores[Robot Game 4 Score],0,0,))</f>
        <v>0</v>
      </c>
      <c r="G103" s="63">
        <f>IF(TournamentData[[#This Row],[Team Number]]="","",_xlfn.XLOOKUP(TournamentData[[#This Row],[Team Number]],RobotGameScores[Team Number],RobotGameScores[Robot Game 5 Score],0,0,))</f>
        <v>0</v>
      </c>
      <c r="H103"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03" s="63">
        <f>IF(TournamentData[[#This Row],[Team Number]]="","",_xlfn.RANK.EQ(TournamentData[[#This Row],[Max Robot Game Score]],TournamentData[Max Robot Game Score]))</f>
        <v>1</v>
      </c>
      <c r="J103" s="63">
        <f>IF(TournamentData[[#This Row],[Team Number]]="","",_xlfn.XLOOKUP(TournamentData[[#This Row],[Team Number]],CoreValuesResults[Team Number],CoreValuesResults[Core Values Rank],NumberOfTeams+1,0,))</f>
        <v>1</v>
      </c>
      <c r="K103" s="63">
        <f>IF(TournamentData[[#This Row],[Team Number]]="","",_xlfn.XLOOKUP(TournamentData[[#This Row],[Team Number]],InnovationProjectResults[Team Number],InnovationProjectResults[Innovation Project Rank],NumberOfTeams+1,0,))</f>
        <v>1</v>
      </c>
      <c r="L103" s="63">
        <f>IF(TournamentData[[#This Row],[Team Number]]="","",_xlfn.XLOOKUP(TournamentData[[#This Row],[Team Number]],RobotDesignResults[Team Number],RobotDesignResults[Robot Design Rank],NumberOfTeams+1,0,))</f>
        <v>1</v>
      </c>
      <c r="M103"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03" s="64">
        <f>IF(TournamentData[[#This Row],[Team Number]]="","",IF(M103,RANK(M103,M$3:M$202,1)-COUNTIF(M$3:M$202,0),NumberOfTeams+1))</f>
        <v>1</v>
      </c>
      <c r="O103" s="70">
        <f>_xlfn.XLOOKUP(TournamentData[[#This Row],[Team Number]],CoreValuesResults[Team Number],CoreValuesResults[Breakthrough Selection],0,0,)</f>
        <v>0</v>
      </c>
      <c r="P103" s="70">
        <f>_xlfn.XLOOKUP(TournamentData[[#This Row],[Team Number]],CoreValuesResults[Team Number],CoreValuesResults[Rising All-Star Selection],0,0,)</f>
        <v>0</v>
      </c>
      <c r="Q103" s="70">
        <f>_xlfn.XLOOKUP(TournamentData[[#This Row],[Team Number]],CoreValuesResults[Team Number],CoreValuesResults[Motivate Selection],0,0,)</f>
        <v>0</v>
      </c>
      <c r="R103" s="66"/>
      <c r="S103" s="66"/>
      <c r="T103" s="67"/>
      <c r="U103" s="63">
        <f>_xlfn.XLOOKUP(TournamentData[[#This Row],[Team Number]],CoreValuesResults[Team Number],CoreValuesResults[Core Values Score],0,0,)</f>
        <v>0</v>
      </c>
      <c r="V103" s="63">
        <f>_xlfn.XLOOKUP(TournamentData[[#This Row],[Team Number]],InnovationProjectResults[Team Number],InnovationProjectResults[Innovation Project Score],0,0,)</f>
        <v>0</v>
      </c>
      <c r="W103" s="63">
        <f>_xlfn.XLOOKUP(TournamentData[[#This Row],[Team Number]],RobotDesignResults[Team Number],RobotDesignResults[Robot Design Score],0,0,)</f>
        <v>0</v>
      </c>
      <c r="X103"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03" s="69">
        <f t="shared" si="3"/>
        <v>0</v>
      </c>
      <c r="Z103" s="66"/>
    </row>
    <row r="104" spans="1:26" ht="21" customHeight="1" x14ac:dyDescent="0.45">
      <c r="A104">
        <f>_xlfn.XLOOKUP(102,OfficialTeamList[Row],OfficialTeamList[Team Number],"ERROR",0)</f>
        <v>0</v>
      </c>
      <c r="B104" s="62" t="str">
        <f>_xlfn.XLOOKUP(TournamentData[[#This Row],[Team Number]],OfficialTeamList[Team Number],OfficialTeamList[Team Name],"",0,)</f>
        <v/>
      </c>
      <c r="C104" s="63">
        <f>IF(TournamentData[[#This Row],[Team Number]]="","",_xlfn.XLOOKUP(TournamentData[[#This Row],[Team Number]],RobotGameScores[Team Number],RobotGameScores[Robot Game 1 Score],0,0,))</f>
        <v>0</v>
      </c>
      <c r="D104" s="63">
        <f>IF(TournamentData[[#This Row],[Team Number]]="","",_xlfn.XLOOKUP(TournamentData[[#This Row],[Team Number]],RobotGameScores[Team Number],RobotGameScores[Robot Game 2 Score],0,0,))</f>
        <v>0</v>
      </c>
      <c r="E104" s="63">
        <f>IF(TournamentData[[#This Row],[Team Number]]="","",_xlfn.XLOOKUP(TournamentData[[#This Row],[Team Number]],RobotGameScores[Team Number],RobotGameScores[Robot Game 3 Score],0,0,))</f>
        <v>0</v>
      </c>
      <c r="F104" s="63">
        <f>IF(TournamentData[[#This Row],[Team Number]]="","",_xlfn.XLOOKUP(TournamentData[[#This Row],[Team Number]],RobotGameScores[Team Number],RobotGameScores[Robot Game 4 Score],0,0,))</f>
        <v>0</v>
      </c>
      <c r="G104" s="63">
        <f>IF(TournamentData[[#This Row],[Team Number]]="","",_xlfn.XLOOKUP(TournamentData[[#This Row],[Team Number]],RobotGameScores[Team Number],RobotGameScores[Robot Game 5 Score],0,0,))</f>
        <v>0</v>
      </c>
      <c r="H104"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04" s="63">
        <f>IF(TournamentData[[#This Row],[Team Number]]="","",_xlfn.RANK.EQ(TournamentData[[#This Row],[Max Robot Game Score]],TournamentData[Max Robot Game Score]))</f>
        <v>1</v>
      </c>
      <c r="J104" s="63">
        <f>IF(TournamentData[[#This Row],[Team Number]]="","",_xlfn.XLOOKUP(TournamentData[[#This Row],[Team Number]],CoreValuesResults[Team Number],CoreValuesResults[Core Values Rank],NumberOfTeams+1,0,))</f>
        <v>1</v>
      </c>
      <c r="K104" s="63">
        <f>IF(TournamentData[[#This Row],[Team Number]]="","",_xlfn.XLOOKUP(TournamentData[[#This Row],[Team Number]],InnovationProjectResults[Team Number],InnovationProjectResults[Innovation Project Rank],NumberOfTeams+1,0,))</f>
        <v>1</v>
      </c>
      <c r="L104" s="63">
        <f>IF(TournamentData[[#This Row],[Team Number]]="","",_xlfn.XLOOKUP(TournamentData[[#This Row],[Team Number]],RobotDesignResults[Team Number],RobotDesignResults[Robot Design Rank],NumberOfTeams+1,0,))</f>
        <v>1</v>
      </c>
      <c r="M104"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04" s="64">
        <f>IF(TournamentData[[#This Row],[Team Number]]="","",IF(M104,RANK(M104,M$3:M$202,1)-COUNTIF(M$3:M$202,0),NumberOfTeams+1))</f>
        <v>1</v>
      </c>
      <c r="O104" s="70">
        <f>_xlfn.XLOOKUP(TournamentData[[#This Row],[Team Number]],CoreValuesResults[Team Number],CoreValuesResults[Breakthrough Selection],0,0,)</f>
        <v>0</v>
      </c>
      <c r="P104" s="70">
        <f>_xlfn.XLOOKUP(TournamentData[[#This Row],[Team Number]],CoreValuesResults[Team Number],CoreValuesResults[Rising All-Star Selection],0,0,)</f>
        <v>0</v>
      </c>
      <c r="Q104" s="70">
        <f>_xlfn.XLOOKUP(TournamentData[[#This Row],[Team Number]],CoreValuesResults[Team Number],CoreValuesResults[Motivate Selection],0,0,)</f>
        <v>0</v>
      </c>
      <c r="R104" s="66"/>
      <c r="S104" s="66"/>
      <c r="T104" s="67"/>
      <c r="U104" s="63">
        <f>_xlfn.XLOOKUP(TournamentData[[#This Row],[Team Number]],CoreValuesResults[Team Number],CoreValuesResults[Core Values Score],0,0,)</f>
        <v>0</v>
      </c>
      <c r="V104" s="63">
        <f>_xlfn.XLOOKUP(TournamentData[[#This Row],[Team Number]],InnovationProjectResults[Team Number],InnovationProjectResults[Innovation Project Score],0,0,)</f>
        <v>0</v>
      </c>
      <c r="W104" s="63">
        <f>_xlfn.XLOOKUP(TournamentData[[#This Row],[Team Number]],RobotDesignResults[Team Number],RobotDesignResults[Robot Design Score],0,0,)</f>
        <v>0</v>
      </c>
      <c r="X104"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04" s="69">
        <f t="shared" si="3"/>
        <v>0</v>
      </c>
      <c r="Z104" s="66"/>
    </row>
    <row r="105" spans="1:26" ht="21" customHeight="1" x14ac:dyDescent="0.45">
      <c r="A105">
        <f>_xlfn.XLOOKUP(103,OfficialTeamList[Row],OfficialTeamList[Team Number],"ERROR",0)</f>
        <v>0</v>
      </c>
      <c r="B105" s="62" t="str">
        <f>_xlfn.XLOOKUP(TournamentData[[#This Row],[Team Number]],OfficialTeamList[Team Number],OfficialTeamList[Team Name],"",0,)</f>
        <v/>
      </c>
      <c r="C105" s="63">
        <f>IF(TournamentData[[#This Row],[Team Number]]="","",_xlfn.XLOOKUP(TournamentData[[#This Row],[Team Number]],RobotGameScores[Team Number],RobotGameScores[Robot Game 1 Score],0,0,))</f>
        <v>0</v>
      </c>
      <c r="D105" s="63">
        <f>IF(TournamentData[[#This Row],[Team Number]]="","",_xlfn.XLOOKUP(TournamentData[[#This Row],[Team Number]],RobotGameScores[Team Number],RobotGameScores[Robot Game 2 Score],0,0,))</f>
        <v>0</v>
      </c>
      <c r="E105" s="63">
        <f>IF(TournamentData[[#This Row],[Team Number]]="","",_xlfn.XLOOKUP(TournamentData[[#This Row],[Team Number]],RobotGameScores[Team Number],RobotGameScores[Robot Game 3 Score],0,0,))</f>
        <v>0</v>
      </c>
      <c r="F105" s="63">
        <f>IF(TournamentData[[#This Row],[Team Number]]="","",_xlfn.XLOOKUP(TournamentData[[#This Row],[Team Number]],RobotGameScores[Team Number],RobotGameScores[Robot Game 4 Score],0,0,))</f>
        <v>0</v>
      </c>
      <c r="G105" s="63">
        <f>IF(TournamentData[[#This Row],[Team Number]]="","",_xlfn.XLOOKUP(TournamentData[[#This Row],[Team Number]],RobotGameScores[Team Number],RobotGameScores[Robot Game 5 Score],0,0,))</f>
        <v>0</v>
      </c>
      <c r="H105"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05" s="63">
        <f>IF(TournamentData[[#This Row],[Team Number]]="","",_xlfn.RANK.EQ(TournamentData[[#This Row],[Max Robot Game Score]],TournamentData[Max Robot Game Score]))</f>
        <v>1</v>
      </c>
      <c r="J105" s="63">
        <f>IF(TournamentData[[#This Row],[Team Number]]="","",_xlfn.XLOOKUP(TournamentData[[#This Row],[Team Number]],CoreValuesResults[Team Number],CoreValuesResults[Core Values Rank],NumberOfTeams+1,0,))</f>
        <v>1</v>
      </c>
      <c r="K105" s="63">
        <f>IF(TournamentData[[#This Row],[Team Number]]="","",_xlfn.XLOOKUP(TournamentData[[#This Row],[Team Number]],InnovationProjectResults[Team Number],InnovationProjectResults[Innovation Project Rank],NumberOfTeams+1,0,))</f>
        <v>1</v>
      </c>
      <c r="L105" s="63">
        <f>IF(TournamentData[[#This Row],[Team Number]]="","",_xlfn.XLOOKUP(TournamentData[[#This Row],[Team Number]],RobotDesignResults[Team Number],RobotDesignResults[Robot Design Rank],NumberOfTeams+1,0,))</f>
        <v>1</v>
      </c>
      <c r="M105"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05" s="64">
        <f>IF(TournamentData[[#This Row],[Team Number]]="","",IF(M105,RANK(M105,M$3:M$202,1)-COUNTIF(M$3:M$202,0),NumberOfTeams+1))</f>
        <v>1</v>
      </c>
      <c r="O105" s="70">
        <f>_xlfn.XLOOKUP(TournamentData[[#This Row],[Team Number]],CoreValuesResults[Team Number],CoreValuesResults[Breakthrough Selection],0,0,)</f>
        <v>0</v>
      </c>
      <c r="P105" s="70">
        <f>_xlfn.XLOOKUP(TournamentData[[#This Row],[Team Number]],CoreValuesResults[Team Number],CoreValuesResults[Rising All-Star Selection],0,0,)</f>
        <v>0</v>
      </c>
      <c r="Q105" s="70">
        <f>_xlfn.XLOOKUP(TournamentData[[#This Row],[Team Number]],CoreValuesResults[Team Number],CoreValuesResults[Motivate Selection],0,0,)</f>
        <v>0</v>
      </c>
      <c r="R105" s="66"/>
      <c r="S105" s="66"/>
      <c r="T105" s="67"/>
      <c r="U105" s="63">
        <f>_xlfn.XLOOKUP(TournamentData[[#This Row],[Team Number]],CoreValuesResults[Team Number],CoreValuesResults[Core Values Score],0,0,)</f>
        <v>0</v>
      </c>
      <c r="V105" s="63">
        <f>_xlfn.XLOOKUP(TournamentData[[#This Row],[Team Number]],InnovationProjectResults[Team Number],InnovationProjectResults[Innovation Project Score],0,0,)</f>
        <v>0</v>
      </c>
      <c r="W105" s="63">
        <f>_xlfn.XLOOKUP(TournamentData[[#This Row],[Team Number]],RobotDesignResults[Team Number],RobotDesignResults[Robot Design Score],0,0,)</f>
        <v>0</v>
      </c>
      <c r="X105"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05" s="69">
        <f t="shared" si="3"/>
        <v>0</v>
      </c>
      <c r="Z105" s="66"/>
    </row>
    <row r="106" spans="1:26" ht="21" customHeight="1" x14ac:dyDescent="0.45">
      <c r="A106">
        <f>_xlfn.XLOOKUP(104,OfficialTeamList[Row],OfficialTeamList[Team Number],"ERROR",0)</f>
        <v>0</v>
      </c>
      <c r="B106" s="62" t="str">
        <f>_xlfn.XLOOKUP(TournamentData[[#This Row],[Team Number]],OfficialTeamList[Team Number],OfficialTeamList[Team Name],"",0,)</f>
        <v/>
      </c>
      <c r="C106" s="63">
        <f>IF(TournamentData[[#This Row],[Team Number]]="","",_xlfn.XLOOKUP(TournamentData[[#This Row],[Team Number]],RobotGameScores[Team Number],RobotGameScores[Robot Game 1 Score],0,0,))</f>
        <v>0</v>
      </c>
      <c r="D106" s="63">
        <f>IF(TournamentData[[#This Row],[Team Number]]="","",_xlfn.XLOOKUP(TournamentData[[#This Row],[Team Number]],RobotGameScores[Team Number],RobotGameScores[Robot Game 2 Score],0,0,))</f>
        <v>0</v>
      </c>
      <c r="E106" s="63">
        <f>IF(TournamentData[[#This Row],[Team Number]]="","",_xlfn.XLOOKUP(TournamentData[[#This Row],[Team Number]],RobotGameScores[Team Number],RobotGameScores[Robot Game 3 Score],0,0,))</f>
        <v>0</v>
      </c>
      <c r="F106" s="63">
        <f>IF(TournamentData[[#This Row],[Team Number]]="","",_xlfn.XLOOKUP(TournamentData[[#This Row],[Team Number]],RobotGameScores[Team Number],RobotGameScores[Robot Game 4 Score],0,0,))</f>
        <v>0</v>
      </c>
      <c r="G106" s="63">
        <f>IF(TournamentData[[#This Row],[Team Number]]="","",_xlfn.XLOOKUP(TournamentData[[#This Row],[Team Number]],RobotGameScores[Team Number],RobotGameScores[Robot Game 5 Score],0,0,))</f>
        <v>0</v>
      </c>
      <c r="H106"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06" s="63">
        <f>IF(TournamentData[[#This Row],[Team Number]]="","",_xlfn.RANK.EQ(TournamentData[[#This Row],[Max Robot Game Score]],TournamentData[Max Robot Game Score]))</f>
        <v>1</v>
      </c>
      <c r="J106" s="63">
        <f>IF(TournamentData[[#This Row],[Team Number]]="","",_xlfn.XLOOKUP(TournamentData[[#This Row],[Team Number]],CoreValuesResults[Team Number],CoreValuesResults[Core Values Rank],NumberOfTeams+1,0,))</f>
        <v>1</v>
      </c>
      <c r="K106" s="63">
        <f>IF(TournamentData[[#This Row],[Team Number]]="","",_xlfn.XLOOKUP(TournamentData[[#This Row],[Team Number]],InnovationProjectResults[Team Number],InnovationProjectResults[Innovation Project Rank],NumberOfTeams+1,0,))</f>
        <v>1</v>
      </c>
      <c r="L106" s="63">
        <f>IF(TournamentData[[#This Row],[Team Number]]="","",_xlfn.XLOOKUP(TournamentData[[#This Row],[Team Number]],RobotDesignResults[Team Number],RobotDesignResults[Robot Design Rank],NumberOfTeams+1,0,))</f>
        <v>1</v>
      </c>
      <c r="M106"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06" s="64">
        <f>IF(TournamentData[[#This Row],[Team Number]]="","",IF(M106,RANK(M106,M$3:M$202,1)-COUNTIF(M$3:M$202,0),NumberOfTeams+1))</f>
        <v>1</v>
      </c>
      <c r="O106" s="70">
        <f>_xlfn.XLOOKUP(TournamentData[[#This Row],[Team Number]],CoreValuesResults[Team Number],CoreValuesResults[Breakthrough Selection],0,0,)</f>
        <v>0</v>
      </c>
      <c r="P106" s="70">
        <f>_xlfn.XLOOKUP(TournamentData[[#This Row],[Team Number]],CoreValuesResults[Team Number],CoreValuesResults[Rising All-Star Selection],0,0,)</f>
        <v>0</v>
      </c>
      <c r="Q106" s="70">
        <f>_xlfn.XLOOKUP(TournamentData[[#This Row],[Team Number]],CoreValuesResults[Team Number],CoreValuesResults[Motivate Selection],0,0,)</f>
        <v>0</v>
      </c>
      <c r="R106" s="66"/>
      <c r="S106" s="66"/>
      <c r="T106" s="67"/>
      <c r="U106" s="63">
        <f>_xlfn.XLOOKUP(TournamentData[[#This Row],[Team Number]],CoreValuesResults[Team Number],CoreValuesResults[Core Values Score],0,0,)</f>
        <v>0</v>
      </c>
      <c r="V106" s="63">
        <f>_xlfn.XLOOKUP(TournamentData[[#This Row],[Team Number]],InnovationProjectResults[Team Number],InnovationProjectResults[Innovation Project Score],0,0,)</f>
        <v>0</v>
      </c>
      <c r="W106" s="63">
        <f>_xlfn.XLOOKUP(TournamentData[[#This Row],[Team Number]],RobotDesignResults[Team Number],RobotDesignResults[Robot Design Score],0,0,)</f>
        <v>0</v>
      </c>
      <c r="X106"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06" s="69">
        <f t="shared" si="3"/>
        <v>0</v>
      </c>
      <c r="Z106" s="66"/>
    </row>
    <row r="107" spans="1:26" ht="21" customHeight="1" x14ac:dyDescent="0.45">
      <c r="A107">
        <f>_xlfn.XLOOKUP(105,OfficialTeamList[Row],OfficialTeamList[Team Number],"ERROR",0)</f>
        <v>0</v>
      </c>
      <c r="B107" s="62" t="str">
        <f>_xlfn.XLOOKUP(TournamentData[[#This Row],[Team Number]],OfficialTeamList[Team Number],OfficialTeamList[Team Name],"",0,)</f>
        <v/>
      </c>
      <c r="C107" s="63">
        <f>IF(TournamentData[[#This Row],[Team Number]]="","",_xlfn.XLOOKUP(TournamentData[[#This Row],[Team Number]],RobotGameScores[Team Number],RobotGameScores[Robot Game 1 Score],0,0,))</f>
        <v>0</v>
      </c>
      <c r="D107" s="63">
        <f>IF(TournamentData[[#This Row],[Team Number]]="","",_xlfn.XLOOKUP(TournamentData[[#This Row],[Team Number]],RobotGameScores[Team Number],RobotGameScores[Robot Game 2 Score],0,0,))</f>
        <v>0</v>
      </c>
      <c r="E107" s="63">
        <f>IF(TournamentData[[#This Row],[Team Number]]="","",_xlfn.XLOOKUP(TournamentData[[#This Row],[Team Number]],RobotGameScores[Team Number],RobotGameScores[Robot Game 3 Score],0,0,))</f>
        <v>0</v>
      </c>
      <c r="F107" s="63">
        <f>IF(TournamentData[[#This Row],[Team Number]]="","",_xlfn.XLOOKUP(TournamentData[[#This Row],[Team Number]],RobotGameScores[Team Number],RobotGameScores[Robot Game 4 Score],0,0,))</f>
        <v>0</v>
      </c>
      <c r="G107" s="63">
        <f>IF(TournamentData[[#This Row],[Team Number]]="","",_xlfn.XLOOKUP(TournamentData[[#This Row],[Team Number]],RobotGameScores[Team Number],RobotGameScores[Robot Game 5 Score],0,0,))</f>
        <v>0</v>
      </c>
      <c r="H107"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07" s="63">
        <f>IF(TournamentData[[#This Row],[Team Number]]="","",_xlfn.RANK.EQ(TournamentData[[#This Row],[Max Robot Game Score]],TournamentData[Max Robot Game Score]))</f>
        <v>1</v>
      </c>
      <c r="J107" s="63">
        <f>IF(TournamentData[[#This Row],[Team Number]]="","",_xlfn.XLOOKUP(TournamentData[[#This Row],[Team Number]],CoreValuesResults[Team Number],CoreValuesResults[Core Values Rank],NumberOfTeams+1,0,))</f>
        <v>1</v>
      </c>
      <c r="K107" s="63">
        <f>IF(TournamentData[[#This Row],[Team Number]]="","",_xlfn.XLOOKUP(TournamentData[[#This Row],[Team Number]],InnovationProjectResults[Team Number],InnovationProjectResults[Innovation Project Rank],NumberOfTeams+1,0,))</f>
        <v>1</v>
      </c>
      <c r="L107" s="63">
        <f>IF(TournamentData[[#This Row],[Team Number]]="","",_xlfn.XLOOKUP(TournamentData[[#This Row],[Team Number]],RobotDesignResults[Team Number],RobotDesignResults[Robot Design Rank],NumberOfTeams+1,0,))</f>
        <v>1</v>
      </c>
      <c r="M107"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07" s="64">
        <f>IF(TournamentData[[#This Row],[Team Number]]="","",IF(M107,RANK(M107,M$3:M$202,1)-COUNTIF(M$3:M$202,0),NumberOfTeams+1))</f>
        <v>1</v>
      </c>
      <c r="O107" s="70">
        <f>_xlfn.XLOOKUP(TournamentData[[#This Row],[Team Number]],CoreValuesResults[Team Number],CoreValuesResults[Breakthrough Selection],0,0,)</f>
        <v>0</v>
      </c>
      <c r="P107" s="70">
        <f>_xlfn.XLOOKUP(TournamentData[[#This Row],[Team Number]],CoreValuesResults[Team Number],CoreValuesResults[Rising All-Star Selection],0,0,)</f>
        <v>0</v>
      </c>
      <c r="Q107" s="70">
        <f>_xlfn.XLOOKUP(TournamentData[[#This Row],[Team Number]],CoreValuesResults[Team Number],CoreValuesResults[Motivate Selection],0,0,)</f>
        <v>0</v>
      </c>
      <c r="R107" s="66"/>
      <c r="S107" s="66"/>
      <c r="T107" s="67"/>
      <c r="U107" s="63">
        <f>_xlfn.XLOOKUP(TournamentData[[#This Row],[Team Number]],CoreValuesResults[Team Number],CoreValuesResults[Core Values Score],0,0,)</f>
        <v>0</v>
      </c>
      <c r="V107" s="63">
        <f>_xlfn.XLOOKUP(TournamentData[[#This Row],[Team Number]],InnovationProjectResults[Team Number],InnovationProjectResults[Innovation Project Score],0,0,)</f>
        <v>0</v>
      </c>
      <c r="W107" s="63">
        <f>_xlfn.XLOOKUP(TournamentData[[#This Row],[Team Number]],RobotDesignResults[Team Number],RobotDesignResults[Robot Design Score],0,0,)</f>
        <v>0</v>
      </c>
      <c r="X107"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07" s="69">
        <f t="shared" si="3"/>
        <v>0</v>
      </c>
      <c r="Z107" s="66"/>
    </row>
    <row r="108" spans="1:26" ht="21" customHeight="1" x14ac:dyDescent="0.45">
      <c r="A108">
        <f>_xlfn.XLOOKUP(106,OfficialTeamList[Row],OfficialTeamList[Team Number],"ERROR",0)</f>
        <v>0</v>
      </c>
      <c r="B108" s="62" t="str">
        <f>_xlfn.XLOOKUP(TournamentData[[#This Row],[Team Number]],OfficialTeamList[Team Number],OfficialTeamList[Team Name],"",0,)</f>
        <v/>
      </c>
      <c r="C108" s="63">
        <f>IF(TournamentData[[#This Row],[Team Number]]="","",_xlfn.XLOOKUP(TournamentData[[#This Row],[Team Number]],RobotGameScores[Team Number],RobotGameScores[Robot Game 1 Score],0,0,))</f>
        <v>0</v>
      </c>
      <c r="D108" s="63">
        <f>IF(TournamentData[[#This Row],[Team Number]]="","",_xlfn.XLOOKUP(TournamentData[[#This Row],[Team Number]],RobotGameScores[Team Number],RobotGameScores[Robot Game 2 Score],0,0,))</f>
        <v>0</v>
      </c>
      <c r="E108" s="63">
        <f>IF(TournamentData[[#This Row],[Team Number]]="","",_xlfn.XLOOKUP(TournamentData[[#This Row],[Team Number]],RobotGameScores[Team Number],RobotGameScores[Robot Game 3 Score],0,0,))</f>
        <v>0</v>
      </c>
      <c r="F108" s="63">
        <f>IF(TournamentData[[#This Row],[Team Number]]="","",_xlfn.XLOOKUP(TournamentData[[#This Row],[Team Number]],RobotGameScores[Team Number],RobotGameScores[Robot Game 4 Score],0,0,))</f>
        <v>0</v>
      </c>
      <c r="G108" s="63">
        <f>IF(TournamentData[[#This Row],[Team Number]]="","",_xlfn.XLOOKUP(TournamentData[[#This Row],[Team Number]],RobotGameScores[Team Number],RobotGameScores[Robot Game 5 Score],0,0,))</f>
        <v>0</v>
      </c>
      <c r="H108"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08" s="63">
        <f>IF(TournamentData[[#This Row],[Team Number]]="","",_xlfn.RANK.EQ(TournamentData[[#This Row],[Max Robot Game Score]],TournamentData[Max Robot Game Score]))</f>
        <v>1</v>
      </c>
      <c r="J108" s="63">
        <f>IF(TournamentData[[#This Row],[Team Number]]="","",_xlfn.XLOOKUP(TournamentData[[#This Row],[Team Number]],CoreValuesResults[Team Number],CoreValuesResults[Core Values Rank],NumberOfTeams+1,0,))</f>
        <v>1</v>
      </c>
      <c r="K108" s="63">
        <f>IF(TournamentData[[#This Row],[Team Number]]="","",_xlfn.XLOOKUP(TournamentData[[#This Row],[Team Number]],InnovationProjectResults[Team Number],InnovationProjectResults[Innovation Project Rank],NumberOfTeams+1,0,))</f>
        <v>1</v>
      </c>
      <c r="L108" s="63">
        <f>IF(TournamentData[[#This Row],[Team Number]]="","",_xlfn.XLOOKUP(TournamentData[[#This Row],[Team Number]],RobotDesignResults[Team Number],RobotDesignResults[Robot Design Rank],NumberOfTeams+1,0,))</f>
        <v>1</v>
      </c>
      <c r="M108"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08" s="64">
        <f>IF(TournamentData[[#This Row],[Team Number]]="","",IF(M108,RANK(M108,M$3:M$202,1)-COUNTIF(M$3:M$202,0),NumberOfTeams+1))</f>
        <v>1</v>
      </c>
      <c r="O108" s="70">
        <f>_xlfn.XLOOKUP(TournamentData[[#This Row],[Team Number]],CoreValuesResults[Team Number],CoreValuesResults[Breakthrough Selection],0,0,)</f>
        <v>0</v>
      </c>
      <c r="P108" s="70">
        <f>_xlfn.XLOOKUP(TournamentData[[#This Row],[Team Number]],CoreValuesResults[Team Number],CoreValuesResults[Rising All-Star Selection],0,0,)</f>
        <v>0</v>
      </c>
      <c r="Q108" s="70">
        <f>_xlfn.XLOOKUP(TournamentData[[#This Row],[Team Number]],CoreValuesResults[Team Number],CoreValuesResults[Motivate Selection],0,0,)</f>
        <v>0</v>
      </c>
      <c r="R108" s="66"/>
      <c r="S108" s="66"/>
      <c r="T108" s="67"/>
      <c r="U108" s="63">
        <f>_xlfn.XLOOKUP(TournamentData[[#This Row],[Team Number]],CoreValuesResults[Team Number],CoreValuesResults[Core Values Score],0,0,)</f>
        <v>0</v>
      </c>
      <c r="V108" s="63">
        <f>_xlfn.XLOOKUP(TournamentData[[#This Row],[Team Number]],InnovationProjectResults[Team Number],InnovationProjectResults[Innovation Project Score],0,0,)</f>
        <v>0</v>
      </c>
      <c r="W108" s="63">
        <f>_xlfn.XLOOKUP(TournamentData[[#This Row],[Team Number]],RobotDesignResults[Team Number],RobotDesignResults[Robot Design Score],0,0,)</f>
        <v>0</v>
      </c>
      <c r="X108"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08" s="69">
        <f t="shared" si="3"/>
        <v>0</v>
      </c>
      <c r="Z108" s="66"/>
    </row>
    <row r="109" spans="1:26" ht="21" customHeight="1" x14ac:dyDescent="0.45">
      <c r="A109">
        <f>_xlfn.XLOOKUP(107,OfficialTeamList[Row],OfficialTeamList[Team Number],"ERROR",0)</f>
        <v>0</v>
      </c>
      <c r="B109" s="62" t="str">
        <f>_xlfn.XLOOKUP(TournamentData[[#This Row],[Team Number]],OfficialTeamList[Team Number],OfficialTeamList[Team Name],"",0,)</f>
        <v/>
      </c>
      <c r="C109" s="63">
        <f>IF(TournamentData[[#This Row],[Team Number]]="","",_xlfn.XLOOKUP(TournamentData[[#This Row],[Team Number]],RobotGameScores[Team Number],RobotGameScores[Robot Game 1 Score],0,0,))</f>
        <v>0</v>
      </c>
      <c r="D109" s="63">
        <f>IF(TournamentData[[#This Row],[Team Number]]="","",_xlfn.XLOOKUP(TournamentData[[#This Row],[Team Number]],RobotGameScores[Team Number],RobotGameScores[Robot Game 2 Score],0,0,))</f>
        <v>0</v>
      </c>
      <c r="E109" s="63">
        <f>IF(TournamentData[[#This Row],[Team Number]]="","",_xlfn.XLOOKUP(TournamentData[[#This Row],[Team Number]],RobotGameScores[Team Number],RobotGameScores[Robot Game 3 Score],0,0,))</f>
        <v>0</v>
      </c>
      <c r="F109" s="63">
        <f>IF(TournamentData[[#This Row],[Team Number]]="","",_xlfn.XLOOKUP(TournamentData[[#This Row],[Team Number]],RobotGameScores[Team Number],RobotGameScores[Robot Game 4 Score],0,0,))</f>
        <v>0</v>
      </c>
      <c r="G109" s="63">
        <f>IF(TournamentData[[#This Row],[Team Number]]="","",_xlfn.XLOOKUP(TournamentData[[#This Row],[Team Number]],RobotGameScores[Team Number],RobotGameScores[Robot Game 5 Score],0,0,))</f>
        <v>0</v>
      </c>
      <c r="H109"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09" s="63">
        <f>IF(TournamentData[[#This Row],[Team Number]]="","",_xlfn.RANK.EQ(TournamentData[[#This Row],[Max Robot Game Score]],TournamentData[Max Robot Game Score]))</f>
        <v>1</v>
      </c>
      <c r="J109" s="63">
        <f>IF(TournamentData[[#This Row],[Team Number]]="","",_xlfn.XLOOKUP(TournamentData[[#This Row],[Team Number]],CoreValuesResults[Team Number],CoreValuesResults[Core Values Rank],NumberOfTeams+1,0,))</f>
        <v>1</v>
      </c>
      <c r="K109" s="63">
        <f>IF(TournamentData[[#This Row],[Team Number]]="","",_xlfn.XLOOKUP(TournamentData[[#This Row],[Team Number]],InnovationProjectResults[Team Number],InnovationProjectResults[Innovation Project Rank],NumberOfTeams+1,0,))</f>
        <v>1</v>
      </c>
      <c r="L109" s="63">
        <f>IF(TournamentData[[#This Row],[Team Number]]="","",_xlfn.XLOOKUP(TournamentData[[#This Row],[Team Number]],RobotDesignResults[Team Number],RobotDesignResults[Robot Design Rank],NumberOfTeams+1,0,))</f>
        <v>1</v>
      </c>
      <c r="M109"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09" s="64">
        <f>IF(TournamentData[[#This Row],[Team Number]]="","",IF(M109,RANK(M109,M$3:M$202,1)-COUNTIF(M$3:M$202,0),NumberOfTeams+1))</f>
        <v>1</v>
      </c>
      <c r="O109" s="70">
        <f>_xlfn.XLOOKUP(TournamentData[[#This Row],[Team Number]],CoreValuesResults[Team Number],CoreValuesResults[Breakthrough Selection],0,0,)</f>
        <v>0</v>
      </c>
      <c r="P109" s="70">
        <f>_xlfn.XLOOKUP(TournamentData[[#This Row],[Team Number]],CoreValuesResults[Team Number],CoreValuesResults[Rising All-Star Selection],0,0,)</f>
        <v>0</v>
      </c>
      <c r="Q109" s="70">
        <f>_xlfn.XLOOKUP(TournamentData[[#This Row],[Team Number]],CoreValuesResults[Team Number],CoreValuesResults[Motivate Selection],0,0,)</f>
        <v>0</v>
      </c>
      <c r="R109" s="66"/>
      <c r="S109" s="66"/>
      <c r="T109" s="67"/>
      <c r="U109" s="63">
        <f>_xlfn.XLOOKUP(TournamentData[[#This Row],[Team Number]],CoreValuesResults[Team Number],CoreValuesResults[Core Values Score],0,0,)</f>
        <v>0</v>
      </c>
      <c r="V109" s="63">
        <f>_xlfn.XLOOKUP(TournamentData[[#This Row],[Team Number]],InnovationProjectResults[Team Number],InnovationProjectResults[Innovation Project Score],0,0,)</f>
        <v>0</v>
      </c>
      <c r="W109" s="63">
        <f>_xlfn.XLOOKUP(TournamentData[[#This Row],[Team Number]],RobotDesignResults[Team Number],RobotDesignResults[Robot Design Score],0,0,)</f>
        <v>0</v>
      </c>
      <c r="X109"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09" s="69">
        <f t="shared" si="3"/>
        <v>0</v>
      </c>
      <c r="Z109" s="66"/>
    </row>
    <row r="110" spans="1:26" ht="21" customHeight="1" x14ac:dyDescent="0.45">
      <c r="A110">
        <f>_xlfn.XLOOKUP(108,OfficialTeamList[Row],OfficialTeamList[Team Number],"ERROR",0)</f>
        <v>0</v>
      </c>
      <c r="B110" s="62" t="str">
        <f>_xlfn.XLOOKUP(TournamentData[[#This Row],[Team Number]],OfficialTeamList[Team Number],OfficialTeamList[Team Name],"",0,)</f>
        <v/>
      </c>
      <c r="C110" s="63">
        <f>IF(TournamentData[[#This Row],[Team Number]]="","",_xlfn.XLOOKUP(TournamentData[[#This Row],[Team Number]],RobotGameScores[Team Number],RobotGameScores[Robot Game 1 Score],0,0,))</f>
        <v>0</v>
      </c>
      <c r="D110" s="63">
        <f>IF(TournamentData[[#This Row],[Team Number]]="","",_xlfn.XLOOKUP(TournamentData[[#This Row],[Team Number]],RobotGameScores[Team Number],RobotGameScores[Robot Game 2 Score],0,0,))</f>
        <v>0</v>
      </c>
      <c r="E110" s="63">
        <f>IF(TournamentData[[#This Row],[Team Number]]="","",_xlfn.XLOOKUP(TournamentData[[#This Row],[Team Number]],RobotGameScores[Team Number],RobotGameScores[Robot Game 3 Score],0,0,))</f>
        <v>0</v>
      </c>
      <c r="F110" s="63">
        <f>IF(TournamentData[[#This Row],[Team Number]]="","",_xlfn.XLOOKUP(TournamentData[[#This Row],[Team Number]],RobotGameScores[Team Number],RobotGameScores[Robot Game 4 Score],0,0,))</f>
        <v>0</v>
      </c>
      <c r="G110" s="63">
        <f>IF(TournamentData[[#This Row],[Team Number]]="","",_xlfn.XLOOKUP(TournamentData[[#This Row],[Team Number]],RobotGameScores[Team Number],RobotGameScores[Robot Game 5 Score],0,0,))</f>
        <v>0</v>
      </c>
      <c r="H110"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10" s="63">
        <f>IF(TournamentData[[#This Row],[Team Number]]="","",_xlfn.RANK.EQ(TournamentData[[#This Row],[Max Robot Game Score]],TournamentData[Max Robot Game Score]))</f>
        <v>1</v>
      </c>
      <c r="J110" s="63">
        <f>IF(TournamentData[[#This Row],[Team Number]]="","",_xlfn.XLOOKUP(TournamentData[[#This Row],[Team Number]],CoreValuesResults[Team Number],CoreValuesResults[Core Values Rank],NumberOfTeams+1,0,))</f>
        <v>1</v>
      </c>
      <c r="K110" s="63">
        <f>IF(TournamentData[[#This Row],[Team Number]]="","",_xlfn.XLOOKUP(TournamentData[[#This Row],[Team Number]],InnovationProjectResults[Team Number],InnovationProjectResults[Innovation Project Rank],NumberOfTeams+1,0,))</f>
        <v>1</v>
      </c>
      <c r="L110" s="63">
        <f>IF(TournamentData[[#This Row],[Team Number]]="","",_xlfn.XLOOKUP(TournamentData[[#This Row],[Team Number]],RobotDesignResults[Team Number],RobotDesignResults[Robot Design Rank],NumberOfTeams+1,0,))</f>
        <v>1</v>
      </c>
      <c r="M110"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10" s="64">
        <f>IF(TournamentData[[#This Row],[Team Number]]="","",IF(M110,RANK(M110,M$3:M$202,1)-COUNTIF(M$3:M$202,0),NumberOfTeams+1))</f>
        <v>1</v>
      </c>
      <c r="O110" s="70">
        <f>_xlfn.XLOOKUP(TournamentData[[#This Row],[Team Number]],CoreValuesResults[Team Number],CoreValuesResults[Breakthrough Selection],0,0,)</f>
        <v>0</v>
      </c>
      <c r="P110" s="70">
        <f>_xlfn.XLOOKUP(TournamentData[[#This Row],[Team Number]],CoreValuesResults[Team Number],CoreValuesResults[Rising All-Star Selection],0,0,)</f>
        <v>0</v>
      </c>
      <c r="Q110" s="70">
        <f>_xlfn.XLOOKUP(TournamentData[[#This Row],[Team Number]],CoreValuesResults[Team Number],CoreValuesResults[Motivate Selection],0,0,)</f>
        <v>0</v>
      </c>
      <c r="R110" s="66"/>
      <c r="S110" s="66"/>
      <c r="T110" s="67"/>
      <c r="U110" s="63">
        <f>_xlfn.XLOOKUP(TournamentData[[#This Row],[Team Number]],CoreValuesResults[Team Number],CoreValuesResults[Core Values Score],0,0,)</f>
        <v>0</v>
      </c>
      <c r="V110" s="63">
        <f>_xlfn.XLOOKUP(TournamentData[[#This Row],[Team Number]],InnovationProjectResults[Team Number],InnovationProjectResults[Innovation Project Score],0,0,)</f>
        <v>0</v>
      </c>
      <c r="W110" s="63">
        <f>_xlfn.XLOOKUP(TournamentData[[#This Row],[Team Number]],RobotDesignResults[Team Number],RobotDesignResults[Robot Design Score],0,0,)</f>
        <v>0</v>
      </c>
      <c r="X110"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10" s="69">
        <f t="shared" si="3"/>
        <v>0</v>
      </c>
      <c r="Z110" s="66"/>
    </row>
    <row r="111" spans="1:26" ht="21" customHeight="1" x14ac:dyDescent="0.45">
      <c r="A111">
        <f>_xlfn.XLOOKUP(109,OfficialTeamList[Row],OfficialTeamList[Team Number],"ERROR",0)</f>
        <v>0</v>
      </c>
      <c r="B111" s="62" t="str">
        <f>_xlfn.XLOOKUP(TournamentData[[#This Row],[Team Number]],OfficialTeamList[Team Number],OfficialTeamList[Team Name],"",0,)</f>
        <v/>
      </c>
      <c r="C111" s="63">
        <f>IF(TournamentData[[#This Row],[Team Number]]="","",_xlfn.XLOOKUP(TournamentData[[#This Row],[Team Number]],RobotGameScores[Team Number],RobotGameScores[Robot Game 1 Score],0,0,))</f>
        <v>0</v>
      </c>
      <c r="D111" s="63">
        <f>IF(TournamentData[[#This Row],[Team Number]]="","",_xlfn.XLOOKUP(TournamentData[[#This Row],[Team Number]],RobotGameScores[Team Number],RobotGameScores[Robot Game 2 Score],0,0,))</f>
        <v>0</v>
      </c>
      <c r="E111" s="63">
        <f>IF(TournamentData[[#This Row],[Team Number]]="","",_xlfn.XLOOKUP(TournamentData[[#This Row],[Team Number]],RobotGameScores[Team Number],RobotGameScores[Robot Game 3 Score],0,0,))</f>
        <v>0</v>
      </c>
      <c r="F111" s="63">
        <f>IF(TournamentData[[#This Row],[Team Number]]="","",_xlfn.XLOOKUP(TournamentData[[#This Row],[Team Number]],RobotGameScores[Team Number],RobotGameScores[Robot Game 4 Score],0,0,))</f>
        <v>0</v>
      </c>
      <c r="G111" s="63">
        <f>IF(TournamentData[[#This Row],[Team Number]]="","",_xlfn.XLOOKUP(TournamentData[[#This Row],[Team Number]],RobotGameScores[Team Number],RobotGameScores[Robot Game 5 Score],0,0,))</f>
        <v>0</v>
      </c>
      <c r="H111"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11" s="63">
        <f>IF(TournamentData[[#This Row],[Team Number]]="","",_xlfn.RANK.EQ(TournamentData[[#This Row],[Max Robot Game Score]],TournamentData[Max Robot Game Score]))</f>
        <v>1</v>
      </c>
      <c r="J111" s="63">
        <f>IF(TournamentData[[#This Row],[Team Number]]="","",_xlfn.XLOOKUP(TournamentData[[#This Row],[Team Number]],CoreValuesResults[Team Number],CoreValuesResults[Core Values Rank],NumberOfTeams+1,0,))</f>
        <v>1</v>
      </c>
      <c r="K111" s="63">
        <f>IF(TournamentData[[#This Row],[Team Number]]="","",_xlfn.XLOOKUP(TournamentData[[#This Row],[Team Number]],InnovationProjectResults[Team Number],InnovationProjectResults[Innovation Project Rank],NumberOfTeams+1,0,))</f>
        <v>1</v>
      </c>
      <c r="L111" s="63">
        <f>IF(TournamentData[[#This Row],[Team Number]]="","",_xlfn.XLOOKUP(TournamentData[[#This Row],[Team Number]],RobotDesignResults[Team Number],RobotDesignResults[Robot Design Rank],NumberOfTeams+1,0,))</f>
        <v>1</v>
      </c>
      <c r="M111"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11" s="64">
        <f>IF(TournamentData[[#This Row],[Team Number]]="","",IF(M111,RANK(M111,M$3:M$202,1)-COUNTIF(M$3:M$202,0),NumberOfTeams+1))</f>
        <v>1</v>
      </c>
      <c r="O111" s="70">
        <f>_xlfn.XLOOKUP(TournamentData[[#This Row],[Team Number]],CoreValuesResults[Team Number],CoreValuesResults[Breakthrough Selection],0,0,)</f>
        <v>0</v>
      </c>
      <c r="P111" s="70">
        <f>_xlfn.XLOOKUP(TournamentData[[#This Row],[Team Number]],CoreValuesResults[Team Number],CoreValuesResults[Rising All-Star Selection],0,0,)</f>
        <v>0</v>
      </c>
      <c r="Q111" s="70">
        <f>_xlfn.XLOOKUP(TournamentData[[#This Row],[Team Number]],CoreValuesResults[Team Number],CoreValuesResults[Motivate Selection],0,0,)</f>
        <v>0</v>
      </c>
      <c r="R111" s="66"/>
      <c r="S111" s="66"/>
      <c r="T111" s="67"/>
      <c r="U111" s="63">
        <f>_xlfn.XLOOKUP(TournamentData[[#This Row],[Team Number]],CoreValuesResults[Team Number],CoreValuesResults[Core Values Score],0,0,)</f>
        <v>0</v>
      </c>
      <c r="V111" s="63">
        <f>_xlfn.XLOOKUP(TournamentData[[#This Row],[Team Number]],InnovationProjectResults[Team Number],InnovationProjectResults[Innovation Project Score],0,0,)</f>
        <v>0</v>
      </c>
      <c r="W111" s="63">
        <f>_xlfn.XLOOKUP(TournamentData[[#This Row],[Team Number]],RobotDesignResults[Team Number],RobotDesignResults[Robot Design Score],0,0,)</f>
        <v>0</v>
      </c>
      <c r="X111"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11" s="71">
        <f t="shared" si="3"/>
        <v>0</v>
      </c>
      <c r="Z111" s="66"/>
    </row>
    <row r="112" spans="1:26" ht="21" customHeight="1" x14ac:dyDescent="0.45">
      <c r="A112">
        <f>_xlfn.XLOOKUP(110,OfficialTeamList[Row],OfficialTeamList[Team Number],"ERROR",0)</f>
        <v>0</v>
      </c>
      <c r="B112" s="62" t="str">
        <f>_xlfn.XLOOKUP(TournamentData[[#This Row],[Team Number]],OfficialTeamList[Team Number],OfficialTeamList[Team Name],"",0,)</f>
        <v/>
      </c>
      <c r="C112" s="63">
        <f>IF(TournamentData[[#This Row],[Team Number]]="","",_xlfn.XLOOKUP(TournamentData[[#This Row],[Team Number]],RobotGameScores[Team Number],RobotGameScores[Robot Game 1 Score],0,0,))</f>
        <v>0</v>
      </c>
      <c r="D112" s="63">
        <f>IF(TournamentData[[#This Row],[Team Number]]="","",_xlfn.XLOOKUP(TournamentData[[#This Row],[Team Number]],RobotGameScores[Team Number],RobotGameScores[Robot Game 2 Score],0,0,))</f>
        <v>0</v>
      </c>
      <c r="E112" s="63">
        <f>IF(TournamentData[[#This Row],[Team Number]]="","",_xlfn.XLOOKUP(TournamentData[[#This Row],[Team Number]],RobotGameScores[Team Number],RobotGameScores[Robot Game 3 Score],0,0,))</f>
        <v>0</v>
      </c>
      <c r="F112" s="63">
        <f>IF(TournamentData[[#This Row],[Team Number]]="","",_xlfn.XLOOKUP(TournamentData[[#This Row],[Team Number]],RobotGameScores[Team Number],RobotGameScores[Robot Game 4 Score],0,0,))</f>
        <v>0</v>
      </c>
      <c r="G112" s="63">
        <f>IF(TournamentData[[#This Row],[Team Number]]="","",_xlfn.XLOOKUP(TournamentData[[#This Row],[Team Number]],RobotGameScores[Team Number],RobotGameScores[Robot Game 5 Score],0,0,))</f>
        <v>0</v>
      </c>
      <c r="H112"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12" s="63">
        <f>IF(TournamentData[[#This Row],[Team Number]]="","",_xlfn.RANK.EQ(TournamentData[[#This Row],[Max Robot Game Score]],TournamentData[Max Robot Game Score]))</f>
        <v>1</v>
      </c>
      <c r="J112" s="63">
        <f>IF(TournamentData[[#This Row],[Team Number]]="","",_xlfn.XLOOKUP(TournamentData[[#This Row],[Team Number]],CoreValuesResults[Team Number],CoreValuesResults[Core Values Rank],NumberOfTeams+1,0,))</f>
        <v>1</v>
      </c>
      <c r="K112" s="63">
        <f>IF(TournamentData[[#This Row],[Team Number]]="","",_xlfn.XLOOKUP(TournamentData[[#This Row],[Team Number]],InnovationProjectResults[Team Number],InnovationProjectResults[Innovation Project Rank],NumberOfTeams+1,0,))</f>
        <v>1</v>
      </c>
      <c r="L112" s="63">
        <f>IF(TournamentData[[#This Row],[Team Number]]="","",_xlfn.XLOOKUP(TournamentData[[#This Row],[Team Number]],RobotDesignResults[Team Number],RobotDesignResults[Robot Design Rank],NumberOfTeams+1,0,))</f>
        <v>1</v>
      </c>
      <c r="M112"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12" s="64">
        <f>IF(TournamentData[[#This Row],[Team Number]]="","",IF(M112,RANK(M112,M$3:M$202,1)-COUNTIF(M$3:M$202,0),NumberOfTeams+1))</f>
        <v>1</v>
      </c>
      <c r="O112" s="70">
        <f>_xlfn.XLOOKUP(TournamentData[[#This Row],[Team Number]],CoreValuesResults[Team Number],CoreValuesResults[Breakthrough Selection],0,0,)</f>
        <v>0</v>
      </c>
      <c r="P112" s="70">
        <f>_xlfn.XLOOKUP(TournamentData[[#This Row],[Team Number]],CoreValuesResults[Team Number],CoreValuesResults[Rising All-Star Selection],0,0,)</f>
        <v>0</v>
      </c>
      <c r="Q112" s="70">
        <f>_xlfn.XLOOKUP(TournamentData[[#This Row],[Team Number]],CoreValuesResults[Team Number],CoreValuesResults[Motivate Selection],0,0,)</f>
        <v>0</v>
      </c>
      <c r="R112" s="66"/>
      <c r="S112" s="66"/>
      <c r="T112" s="67"/>
      <c r="U112" s="63">
        <f>_xlfn.XLOOKUP(TournamentData[[#This Row],[Team Number]],CoreValuesResults[Team Number],CoreValuesResults[Core Values Score],0,0,)</f>
        <v>0</v>
      </c>
      <c r="V112" s="63">
        <f>_xlfn.XLOOKUP(TournamentData[[#This Row],[Team Number]],InnovationProjectResults[Team Number],InnovationProjectResults[Innovation Project Score],0,0,)</f>
        <v>0</v>
      </c>
      <c r="W112" s="63">
        <f>_xlfn.XLOOKUP(TournamentData[[#This Row],[Team Number]],RobotDesignResults[Team Number],RobotDesignResults[Robot Design Score],0,0,)</f>
        <v>0</v>
      </c>
      <c r="X112"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12" s="71">
        <f t="shared" si="3"/>
        <v>0</v>
      </c>
      <c r="Z112" s="66"/>
    </row>
    <row r="113" spans="1:26" ht="21" customHeight="1" x14ac:dyDescent="0.45">
      <c r="A113">
        <f>_xlfn.XLOOKUP(111,OfficialTeamList[Row],OfficialTeamList[Team Number],"ERROR",0)</f>
        <v>0</v>
      </c>
      <c r="B113" s="62" t="str">
        <f>_xlfn.XLOOKUP(TournamentData[[#This Row],[Team Number]],OfficialTeamList[Team Number],OfficialTeamList[Team Name],"",0,)</f>
        <v/>
      </c>
      <c r="C113" s="63">
        <f>IF(TournamentData[[#This Row],[Team Number]]="","",_xlfn.XLOOKUP(TournamentData[[#This Row],[Team Number]],RobotGameScores[Team Number],RobotGameScores[Robot Game 1 Score],0,0,))</f>
        <v>0</v>
      </c>
      <c r="D113" s="63">
        <f>IF(TournamentData[[#This Row],[Team Number]]="","",_xlfn.XLOOKUP(TournamentData[[#This Row],[Team Number]],RobotGameScores[Team Number],RobotGameScores[Robot Game 2 Score],0,0,))</f>
        <v>0</v>
      </c>
      <c r="E113" s="63">
        <f>IF(TournamentData[[#This Row],[Team Number]]="","",_xlfn.XLOOKUP(TournamentData[[#This Row],[Team Number]],RobotGameScores[Team Number],RobotGameScores[Robot Game 3 Score],0,0,))</f>
        <v>0</v>
      </c>
      <c r="F113" s="63">
        <f>IF(TournamentData[[#This Row],[Team Number]]="","",_xlfn.XLOOKUP(TournamentData[[#This Row],[Team Number]],RobotGameScores[Team Number],RobotGameScores[Robot Game 4 Score],0,0,))</f>
        <v>0</v>
      </c>
      <c r="G113" s="63">
        <f>IF(TournamentData[[#This Row],[Team Number]]="","",_xlfn.XLOOKUP(TournamentData[[#This Row],[Team Number]],RobotGameScores[Team Number],RobotGameScores[Robot Game 5 Score],0,0,))</f>
        <v>0</v>
      </c>
      <c r="H113"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13" s="63">
        <f>IF(TournamentData[[#This Row],[Team Number]]="","",_xlfn.RANK.EQ(TournamentData[[#This Row],[Max Robot Game Score]],TournamentData[Max Robot Game Score]))</f>
        <v>1</v>
      </c>
      <c r="J113" s="63">
        <f>IF(TournamentData[[#This Row],[Team Number]]="","",_xlfn.XLOOKUP(TournamentData[[#This Row],[Team Number]],CoreValuesResults[Team Number],CoreValuesResults[Core Values Rank],NumberOfTeams+1,0,))</f>
        <v>1</v>
      </c>
      <c r="K113" s="63">
        <f>IF(TournamentData[[#This Row],[Team Number]]="","",_xlfn.XLOOKUP(TournamentData[[#This Row],[Team Number]],InnovationProjectResults[Team Number],InnovationProjectResults[Innovation Project Rank],NumberOfTeams+1,0,))</f>
        <v>1</v>
      </c>
      <c r="L113" s="63">
        <f>IF(TournamentData[[#This Row],[Team Number]]="","",_xlfn.XLOOKUP(TournamentData[[#This Row],[Team Number]],RobotDesignResults[Team Number],RobotDesignResults[Robot Design Rank],NumberOfTeams+1,0,))</f>
        <v>1</v>
      </c>
      <c r="M113"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13" s="64">
        <f>IF(TournamentData[[#This Row],[Team Number]]="","",IF(M113,RANK(M113,M$3:M$202,1)-COUNTIF(M$3:M$202,0),NumberOfTeams+1))</f>
        <v>1</v>
      </c>
      <c r="O113" s="70">
        <f>_xlfn.XLOOKUP(TournamentData[[#This Row],[Team Number]],CoreValuesResults[Team Number],CoreValuesResults[Breakthrough Selection],0,0,)</f>
        <v>0</v>
      </c>
      <c r="P113" s="70">
        <f>_xlfn.XLOOKUP(TournamentData[[#This Row],[Team Number]],CoreValuesResults[Team Number],CoreValuesResults[Rising All-Star Selection],0,0,)</f>
        <v>0</v>
      </c>
      <c r="Q113" s="70">
        <f>_xlfn.XLOOKUP(TournamentData[[#This Row],[Team Number]],CoreValuesResults[Team Number],CoreValuesResults[Motivate Selection],0,0,)</f>
        <v>0</v>
      </c>
      <c r="R113" s="66"/>
      <c r="S113" s="66"/>
      <c r="T113" s="67"/>
      <c r="U113" s="63">
        <f>_xlfn.XLOOKUP(TournamentData[[#This Row],[Team Number]],CoreValuesResults[Team Number],CoreValuesResults[Core Values Score],0,0,)</f>
        <v>0</v>
      </c>
      <c r="V113" s="63">
        <f>_xlfn.XLOOKUP(TournamentData[[#This Row],[Team Number]],InnovationProjectResults[Team Number],InnovationProjectResults[Innovation Project Score],0,0,)</f>
        <v>0</v>
      </c>
      <c r="W113" s="63">
        <f>_xlfn.XLOOKUP(TournamentData[[#This Row],[Team Number]],RobotDesignResults[Team Number],RobotDesignResults[Robot Design Score],0,0,)</f>
        <v>0</v>
      </c>
      <c r="X113"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13" s="71">
        <f t="shared" si="3"/>
        <v>0</v>
      </c>
      <c r="Z113" s="66"/>
    </row>
    <row r="114" spans="1:26" ht="21" customHeight="1" x14ac:dyDescent="0.45">
      <c r="A114">
        <f>_xlfn.XLOOKUP(112,OfficialTeamList[Row],OfficialTeamList[Team Number],"ERROR",0)</f>
        <v>0</v>
      </c>
      <c r="B114" s="62" t="str">
        <f>_xlfn.XLOOKUP(TournamentData[[#This Row],[Team Number]],OfficialTeamList[Team Number],OfficialTeamList[Team Name],"",0,)</f>
        <v/>
      </c>
      <c r="C114" s="63">
        <f>IF(TournamentData[[#This Row],[Team Number]]="","",_xlfn.XLOOKUP(TournamentData[[#This Row],[Team Number]],RobotGameScores[Team Number],RobotGameScores[Robot Game 1 Score],0,0,))</f>
        <v>0</v>
      </c>
      <c r="D114" s="63">
        <f>IF(TournamentData[[#This Row],[Team Number]]="","",_xlfn.XLOOKUP(TournamentData[[#This Row],[Team Number]],RobotGameScores[Team Number],RobotGameScores[Robot Game 2 Score],0,0,))</f>
        <v>0</v>
      </c>
      <c r="E114" s="63">
        <f>IF(TournamentData[[#This Row],[Team Number]]="","",_xlfn.XLOOKUP(TournamentData[[#This Row],[Team Number]],RobotGameScores[Team Number],RobotGameScores[Robot Game 3 Score],0,0,))</f>
        <v>0</v>
      </c>
      <c r="F114" s="63">
        <f>IF(TournamentData[[#This Row],[Team Number]]="","",_xlfn.XLOOKUP(TournamentData[[#This Row],[Team Number]],RobotGameScores[Team Number],RobotGameScores[Robot Game 4 Score],0,0,))</f>
        <v>0</v>
      </c>
      <c r="G114" s="63">
        <f>IF(TournamentData[[#This Row],[Team Number]]="","",_xlfn.XLOOKUP(TournamentData[[#This Row],[Team Number]],RobotGameScores[Team Number],RobotGameScores[Robot Game 5 Score],0,0,))</f>
        <v>0</v>
      </c>
      <c r="H114"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14" s="63">
        <f>IF(TournamentData[[#This Row],[Team Number]]="","",_xlfn.RANK.EQ(TournamentData[[#This Row],[Max Robot Game Score]],TournamentData[Max Robot Game Score]))</f>
        <v>1</v>
      </c>
      <c r="J114" s="63">
        <f>IF(TournamentData[[#This Row],[Team Number]]="","",_xlfn.XLOOKUP(TournamentData[[#This Row],[Team Number]],CoreValuesResults[Team Number],CoreValuesResults[Core Values Rank],NumberOfTeams+1,0,))</f>
        <v>1</v>
      </c>
      <c r="K114" s="63">
        <f>IF(TournamentData[[#This Row],[Team Number]]="","",_xlfn.XLOOKUP(TournamentData[[#This Row],[Team Number]],InnovationProjectResults[Team Number],InnovationProjectResults[Innovation Project Rank],NumberOfTeams+1,0,))</f>
        <v>1</v>
      </c>
      <c r="L114" s="63">
        <f>IF(TournamentData[[#This Row],[Team Number]]="","",_xlfn.XLOOKUP(TournamentData[[#This Row],[Team Number]],RobotDesignResults[Team Number],RobotDesignResults[Robot Design Rank],NumberOfTeams+1,0,))</f>
        <v>1</v>
      </c>
      <c r="M114"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14" s="64">
        <f>IF(TournamentData[[#This Row],[Team Number]]="","",IF(M114,RANK(M114,M$3:M$202,1)-COUNTIF(M$3:M$202,0),NumberOfTeams+1))</f>
        <v>1</v>
      </c>
      <c r="O114" s="70">
        <f>_xlfn.XLOOKUP(TournamentData[[#This Row],[Team Number]],CoreValuesResults[Team Number],CoreValuesResults[Breakthrough Selection],0,0,)</f>
        <v>0</v>
      </c>
      <c r="P114" s="70">
        <f>_xlfn.XLOOKUP(TournamentData[[#This Row],[Team Number]],CoreValuesResults[Team Number],CoreValuesResults[Rising All-Star Selection],0,0,)</f>
        <v>0</v>
      </c>
      <c r="Q114" s="70">
        <f>_xlfn.XLOOKUP(TournamentData[[#This Row],[Team Number]],CoreValuesResults[Team Number],CoreValuesResults[Motivate Selection],0,0,)</f>
        <v>0</v>
      </c>
      <c r="R114" s="66"/>
      <c r="S114" s="66"/>
      <c r="T114" s="67"/>
      <c r="U114" s="63">
        <f>_xlfn.XLOOKUP(TournamentData[[#This Row],[Team Number]],CoreValuesResults[Team Number],CoreValuesResults[Core Values Score],0,0,)</f>
        <v>0</v>
      </c>
      <c r="V114" s="63">
        <f>_xlfn.XLOOKUP(TournamentData[[#This Row],[Team Number]],InnovationProjectResults[Team Number],InnovationProjectResults[Innovation Project Score],0,0,)</f>
        <v>0</v>
      </c>
      <c r="W114" s="63">
        <f>_xlfn.XLOOKUP(TournamentData[[#This Row],[Team Number]],RobotDesignResults[Team Number],RobotDesignResults[Robot Design Score],0,0,)</f>
        <v>0</v>
      </c>
      <c r="X114"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14" s="71">
        <f t="shared" si="3"/>
        <v>0</v>
      </c>
      <c r="Z114" s="66"/>
    </row>
    <row r="115" spans="1:26" ht="21" customHeight="1" x14ac:dyDescent="0.45">
      <c r="A115">
        <f>_xlfn.XLOOKUP(113,OfficialTeamList[Row],OfficialTeamList[Team Number],"ERROR",0)</f>
        <v>0</v>
      </c>
      <c r="B115" s="62" t="str">
        <f>_xlfn.XLOOKUP(TournamentData[[#This Row],[Team Number]],OfficialTeamList[Team Number],OfficialTeamList[Team Name],"",0,)</f>
        <v/>
      </c>
      <c r="C115" s="63">
        <f>IF(TournamentData[[#This Row],[Team Number]]="","",_xlfn.XLOOKUP(TournamentData[[#This Row],[Team Number]],RobotGameScores[Team Number],RobotGameScores[Robot Game 1 Score],0,0,))</f>
        <v>0</v>
      </c>
      <c r="D115" s="63">
        <f>IF(TournamentData[[#This Row],[Team Number]]="","",_xlfn.XLOOKUP(TournamentData[[#This Row],[Team Number]],RobotGameScores[Team Number],RobotGameScores[Robot Game 2 Score],0,0,))</f>
        <v>0</v>
      </c>
      <c r="E115" s="63">
        <f>IF(TournamentData[[#This Row],[Team Number]]="","",_xlfn.XLOOKUP(TournamentData[[#This Row],[Team Number]],RobotGameScores[Team Number],RobotGameScores[Robot Game 3 Score],0,0,))</f>
        <v>0</v>
      </c>
      <c r="F115" s="63">
        <f>IF(TournamentData[[#This Row],[Team Number]]="","",_xlfn.XLOOKUP(TournamentData[[#This Row],[Team Number]],RobotGameScores[Team Number],RobotGameScores[Robot Game 4 Score],0,0,))</f>
        <v>0</v>
      </c>
      <c r="G115" s="63">
        <f>IF(TournamentData[[#This Row],[Team Number]]="","",_xlfn.XLOOKUP(TournamentData[[#This Row],[Team Number]],RobotGameScores[Team Number],RobotGameScores[Robot Game 5 Score],0,0,))</f>
        <v>0</v>
      </c>
      <c r="H115"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15" s="63">
        <f>IF(TournamentData[[#This Row],[Team Number]]="","",_xlfn.RANK.EQ(TournamentData[[#This Row],[Max Robot Game Score]],TournamentData[Max Robot Game Score]))</f>
        <v>1</v>
      </c>
      <c r="J115" s="63">
        <f>IF(TournamentData[[#This Row],[Team Number]]="","",_xlfn.XLOOKUP(TournamentData[[#This Row],[Team Number]],CoreValuesResults[Team Number],CoreValuesResults[Core Values Rank],NumberOfTeams+1,0,))</f>
        <v>1</v>
      </c>
      <c r="K115" s="63">
        <f>IF(TournamentData[[#This Row],[Team Number]]="","",_xlfn.XLOOKUP(TournamentData[[#This Row],[Team Number]],InnovationProjectResults[Team Number],InnovationProjectResults[Innovation Project Rank],NumberOfTeams+1,0,))</f>
        <v>1</v>
      </c>
      <c r="L115" s="63">
        <f>IF(TournamentData[[#This Row],[Team Number]]="","",_xlfn.XLOOKUP(TournamentData[[#This Row],[Team Number]],RobotDesignResults[Team Number],RobotDesignResults[Robot Design Rank],NumberOfTeams+1,0,))</f>
        <v>1</v>
      </c>
      <c r="M115"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15" s="64">
        <f>IF(TournamentData[[#This Row],[Team Number]]="","",IF(M115,RANK(M115,M$3:M$202,1)-COUNTIF(M$3:M$202,0),NumberOfTeams+1))</f>
        <v>1</v>
      </c>
      <c r="O115" s="70">
        <f>_xlfn.XLOOKUP(TournamentData[[#This Row],[Team Number]],CoreValuesResults[Team Number],CoreValuesResults[Breakthrough Selection],0,0,)</f>
        <v>0</v>
      </c>
      <c r="P115" s="70">
        <f>_xlfn.XLOOKUP(TournamentData[[#This Row],[Team Number]],CoreValuesResults[Team Number],CoreValuesResults[Rising All-Star Selection],0,0,)</f>
        <v>0</v>
      </c>
      <c r="Q115" s="70">
        <f>_xlfn.XLOOKUP(TournamentData[[#This Row],[Team Number]],CoreValuesResults[Team Number],CoreValuesResults[Motivate Selection],0,0,)</f>
        <v>0</v>
      </c>
      <c r="R115" s="66"/>
      <c r="S115" s="66"/>
      <c r="T115" s="67"/>
      <c r="U115" s="63">
        <f>_xlfn.XLOOKUP(TournamentData[[#This Row],[Team Number]],CoreValuesResults[Team Number],CoreValuesResults[Core Values Score],0,0,)</f>
        <v>0</v>
      </c>
      <c r="V115" s="63">
        <f>_xlfn.XLOOKUP(TournamentData[[#This Row],[Team Number]],InnovationProjectResults[Team Number],InnovationProjectResults[Innovation Project Score],0,0,)</f>
        <v>0</v>
      </c>
      <c r="W115" s="63">
        <f>_xlfn.XLOOKUP(TournamentData[[#This Row],[Team Number]],RobotDesignResults[Team Number],RobotDesignResults[Robot Design Score],0,0,)</f>
        <v>0</v>
      </c>
      <c r="X115"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15" s="71">
        <f t="shared" si="3"/>
        <v>0</v>
      </c>
      <c r="Z115" s="66"/>
    </row>
    <row r="116" spans="1:26" ht="21" customHeight="1" x14ac:dyDescent="0.45">
      <c r="A116">
        <f>_xlfn.XLOOKUP(114,OfficialTeamList[Row],OfficialTeamList[Team Number],"ERROR",0)</f>
        <v>0</v>
      </c>
      <c r="B116" s="62" t="str">
        <f>_xlfn.XLOOKUP(TournamentData[[#This Row],[Team Number]],OfficialTeamList[Team Number],OfficialTeamList[Team Name],"",0,)</f>
        <v/>
      </c>
      <c r="C116" s="63">
        <f>IF(TournamentData[[#This Row],[Team Number]]="","",_xlfn.XLOOKUP(TournamentData[[#This Row],[Team Number]],RobotGameScores[Team Number],RobotGameScores[Robot Game 1 Score],0,0,))</f>
        <v>0</v>
      </c>
      <c r="D116" s="63">
        <f>IF(TournamentData[[#This Row],[Team Number]]="","",_xlfn.XLOOKUP(TournamentData[[#This Row],[Team Number]],RobotGameScores[Team Number],RobotGameScores[Robot Game 2 Score],0,0,))</f>
        <v>0</v>
      </c>
      <c r="E116" s="63">
        <f>IF(TournamentData[[#This Row],[Team Number]]="","",_xlfn.XLOOKUP(TournamentData[[#This Row],[Team Number]],RobotGameScores[Team Number],RobotGameScores[Robot Game 3 Score],0,0,))</f>
        <v>0</v>
      </c>
      <c r="F116" s="63">
        <f>IF(TournamentData[[#This Row],[Team Number]]="","",_xlfn.XLOOKUP(TournamentData[[#This Row],[Team Number]],RobotGameScores[Team Number],RobotGameScores[Robot Game 4 Score],0,0,))</f>
        <v>0</v>
      </c>
      <c r="G116" s="63">
        <f>IF(TournamentData[[#This Row],[Team Number]]="","",_xlfn.XLOOKUP(TournamentData[[#This Row],[Team Number]],RobotGameScores[Team Number],RobotGameScores[Robot Game 5 Score],0,0,))</f>
        <v>0</v>
      </c>
      <c r="H116"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16" s="63">
        <f>IF(TournamentData[[#This Row],[Team Number]]="","",_xlfn.RANK.EQ(TournamentData[[#This Row],[Max Robot Game Score]],TournamentData[Max Robot Game Score]))</f>
        <v>1</v>
      </c>
      <c r="J116" s="63">
        <f>IF(TournamentData[[#This Row],[Team Number]]="","",_xlfn.XLOOKUP(TournamentData[[#This Row],[Team Number]],CoreValuesResults[Team Number],CoreValuesResults[Core Values Rank],NumberOfTeams+1,0,))</f>
        <v>1</v>
      </c>
      <c r="K116" s="63">
        <f>IF(TournamentData[[#This Row],[Team Number]]="","",_xlfn.XLOOKUP(TournamentData[[#This Row],[Team Number]],InnovationProjectResults[Team Number],InnovationProjectResults[Innovation Project Rank],NumberOfTeams+1,0,))</f>
        <v>1</v>
      </c>
      <c r="L116" s="63">
        <f>IF(TournamentData[[#This Row],[Team Number]]="","",_xlfn.XLOOKUP(TournamentData[[#This Row],[Team Number]],RobotDesignResults[Team Number],RobotDesignResults[Robot Design Rank],NumberOfTeams+1,0,))</f>
        <v>1</v>
      </c>
      <c r="M116"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16" s="64">
        <f>IF(TournamentData[[#This Row],[Team Number]]="","",IF(M116,RANK(M116,M$3:M$202,1)-COUNTIF(M$3:M$202,0),NumberOfTeams+1))</f>
        <v>1</v>
      </c>
      <c r="O116" s="70">
        <f>_xlfn.XLOOKUP(TournamentData[[#This Row],[Team Number]],CoreValuesResults[Team Number],CoreValuesResults[Breakthrough Selection],0,0,)</f>
        <v>0</v>
      </c>
      <c r="P116" s="70">
        <f>_xlfn.XLOOKUP(TournamentData[[#This Row],[Team Number]],CoreValuesResults[Team Number],CoreValuesResults[Rising All-Star Selection],0,0,)</f>
        <v>0</v>
      </c>
      <c r="Q116" s="70">
        <f>_xlfn.XLOOKUP(TournamentData[[#This Row],[Team Number]],CoreValuesResults[Team Number],CoreValuesResults[Motivate Selection],0,0,)</f>
        <v>0</v>
      </c>
      <c r="R116" s="66"/>
      <c r="S116" s="66"/>
      <c r="T116" s="67"/>
      <c r="U116" s="63">
        <f>_xlfn.XLOOKUP(TournamentData[[#This Row],[Team Number]],CoreValuesResults[Team Number],CoreValuesResults[Core Values Score],0,0,)</f>
        <v>0</v>
      </c>
      <c r="V116" s="63">
        <f>_xlfn.XLOOKUP(TournamentData[[#This Row],[Team Number]],InnovationProjectResults[Team Number],InnovationProjectResults[Innovation Project Score],0,0,)</f>
        <v>0</v>
      </c>
      <c r="W116" s="63">
        <f>_xlfn.XLOOKUP(TournamentData[[#This Row],[Team Number]],RobotDesignResults[Team Number],RobotDesignResults[Robot Design Score],0,0,)</f>
        <v>0</v>
      </c>
      <c r="X116"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16" s="71">
        <f t="shared" si="3"/>
        <v>0</v>
      </c>
      <c r="Z116" s="66"/>
    </row>
    <row r="117" spans="1:26" ht="21" customHeight="1" x14ac:dyDescent="0.45">
      <c r="A117">
        <f>_xlfn.XLOOKUP(115,OfficialTeamList[Row],OfficialTeamList[Team Number],"ERROR",0)</f>
        <v>0</v>
      </c>
      <c r="B117" s="62" t="str">
        <f>_xlfn.XLOOKUP(TournamentData[[#This Row],[Team Number]],OfficialTeamList[Team Number],OfficialTeamList[Team Name],"",0,)</f>
        <v/>
      </c>
      <c r="C117" s="63">
        <f>IF(TournamentData[[#This Row],[Team Number]]="","",_xlfn.XLOOKUP(TournamentData[[#This Row],[Team Number]],RobotGameScores[Team Number],RobotGameScores[Robot Game 1 Score],0,0,))</f>
        <v>0</v>
      </c>
      <c r="D117" s="63">
        <f>IF(TournamentData[[#This Row],[Team Number]]="","",_xlfn.XLOOKUP(TournamentData[[#This Row],[Team Number]],RobotGameScores[Team Number],RobotGameScores[Robot Game 2 Score],0,0,))</f>
        <v>0</v>
      </c>
      <c r="E117" s="63">
        <f>IF(TournamentData[[#This Row],[Team Number]]="","",_xlfn.XLOOKUP(TournamentData[[#This Row],[Team Number]],RobotGameScores[Team Number],RobotGameScores[Robot Game 3 Score],0,0,))</f>
        <v>0</v>
      </c>
      <c r="F117" s="63">
        <f>IF(TournamentData[[#This Row],[Team Number]]="","",_xlfn.XLOOKUP(TournamentData[[#This Row],[Team Number]],RobotGameScores[Team Number],RobotGameScores[Robot Game 4 Score],0,0,))</f>
        <v>0</v>
      </c>
      <c r="G117" s="63">
        <f>IF(TournamentData[[#This Row],[Team Number]]="","",_xlfn.XLOOKUP(TournamentData[[#This Row],[Team Number]],RobotGameScores[Team Number],RobotGameScores[Robot Game 5 Score],0,0,))</f>
        <v>0</v>
      </c>
      <c r="H117"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17" s="63">
        <f>IF(TournamentData[[#This Row],[Team Number]]="","",_xlfn.RANK.EQ(TournamentData[[#This Row],[Max Robot Game Score]],TournamentData[Max Robot Game Score]))</f>
        <v>1</v>
      </c>
      <c r="J117" s="63">
        <f>IF(TournamentData[[#This Row],[Team Number]]="","",_xlfn.XLOOKUP(TournamentData[[#This Row],[Team Number]],CoreValuesResults[Team Number],CoreValuesResults[Core Values Rank],NumberOfTeams+1,0,))</f>
        <v>1</v>
      </c>
      <c r="K117" s="63">
        <f>IF(TournamentData[[#This Row],[Team Number]]="","",_xlfn.XLOOKUP(TournamentData[[#This Row],[Team Number]],InnovationProjectResults[Team Number],InnovationProjectResults[Innovation Project Rank],NumberOfTeams+1,0,))</f>
        <v>1</v>
      </c>
      <c r="L117" s="63">
        <f>IF(TournamentData[[#This Row],[Team Number]]="","",_xlfn.XLOOKUP(TournamentData[[#This Row],[Team Number]],RobotDesignResults[Team Number],RobotDesignResults[Robot Design Rank],NumberOfTeams+1,0,))</f>
        <v>1</v>
      </c>
      <c r="M117"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17" s="64">
        <f>IF(TournamentData[[#This Row],[Team Number]]="","",IF(M117,RANK(M117,M$3:M$202,1)-COUNTIF(M$3:M$202,0),NumberOfTeams+1))</f>
        <v>1</v>
      </c>
      <c r="O117" s="70">
        <f>_xlfn.XLOOKUP(TournamentData[[#This Row],[Team Number]],CoreValuesResults[Team Number],CoreValuesResults[Breakthrough Selection],0,0,)</f>
        <v>0</v>
      </c>
      <c r="P117" s="70">
        <f>_xlfn.XLOOKUP(TournamentData[[#This Row],[Team Number]],CoreValuesResults[Team Number],CoreValuesResults[Rising All-Star Selection],0,0,)</f>
        <v>0</v>
      </c>
      <c r="Q117" s="70">
        <f>_xlfn.XLOOKUP(TournamentData[[#This Row],[Team Number]],CoreValuesResults[Team Number],CoreValuesResults[Motivate Selection],0,0,)</f>
        <v>0</v>
      </c>
      <c r="R117" s="66"/>
      <c r="S117" s="66"/>
      <c r="T117" s="67"/>
      <c r="U117" s="63">
        <f>_xlfn.XLOOKUP(TournamentData[[#This Row],[Team Number]],CoreValuesResults[Team Number],CoreValuesResults[Core Values Score],0,0,)</f>
        <v>0</v>
      </c>
      <c r="V117" s="63">
        <f>_xlfn.XLOOKUP(TournamentData[[#This Row],[Team Number]],InnovationProjectResults[Team Number],InnovationProjectResults[Innovation Project Score],0,0,)</f>
        <v>0</v>
      </c>
      <c r="W117" s="63">
        <f>_xlfn.XLOOKUP(TournamentData[[#This Row],[Team Number]],RobotDesignResults[Team Number],RobotDesignResults[Robot Design Score],0,0,)</f>
        <v>0</v>
      </c>
      <c r="X117"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17" s="71">
        <f t="shared" si="3"/>
        <v>0</v>
      </c>
      <c r="Z117" s="66"/>
    </row>
    <row r="118" spans="1:26" ht="21" customHeight="1" x14ac:dyDescent="0.45">
      <c r="A118">
        <f>_xlfn.XLOOKUP(116,OfficialTeamList[Row],OfficialTeamList[Team Number],"ERROR",0)</f>
        <v>0</v>
      </c>
      <c r="B118" s="62" t="str">
        <f>_xlfn.XLOOKUP(TournamentData[[#This Row],[Team Number]],OfficialTeamList[Team Number],OfficialTeamList[Team Name],"",0,)</f>
        <v/>
      </c>
      <c r="C118" s="63">
        <f>IF(TournamentData[[#This Row],[Team Number]]="","",_xlfn.XLOOKUP(TournamentData[[#This Row],[Team Number]],RobotGameScores[Team Number],RobotGameScores[Robot Game 1 Score],0,0,))</f>
        <v>0</v>
      </c>
      <c r="D118" s="63">
        <f>IF(TournamentData[[#This Row],[Team Number]]="","",_xlfn.XLOOKUP(TournamentData[[#This Row],[Team Number]],RobotGameScores[Team Number],RobotGameScores[Robot Game 2 Score],0,0,))</f>
        <v>0</v>
      </c>
      <c r="E118" s="63">
        <f>IF(TournamentData[[#This Row],[Team Number]]="","",_xlfn.XLOOKUP(TournamentData[[#This Row],[Team Number]],RobotGameScores[Team Number],RobotGameScores[Robot Game 3 Score],0,0,))</f>
        <v>0</v>
      </c>
      <c r="F118" s="63">
        <f>IF(TournamentData[[#This Row],[Team Number]]="","",_xlfn.XLOOKUP(TournamentData[[#This Row],[Team Number]],RobotGameScores[Team Number],RobotGameScores[Robot Game 4 Score],0,0,))</f>
        <v>0</v>
      </c>
      <c r="G118" s="63">
        <f>IF(TournamentData[[#This Row],[Team Number]]="","",_xlfn.XLOOKUP(TournamentData[[#This Row],[Team Number]],RobotGameScores[Team Number],RobotGameScores[Robot Game 5 Score],0,0,))</f>
        <v>0</v>
      </c>
      <c r="H118"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18" s="63">
        <f>IF(TournamentData[[#This Row],[Team Number]]="","",_xlfn.RANK.EQ(TournamentData[[#This Row],[Max Robot Game Score]],TournamentData[Max Robot Game Score]))</f>
        <v>1</v>
      </c>
      <c r="J118" s="63">
        <f>IF(TournamentData[[#This Row],[Team Number]]="","",_xlfn.XLOOKUP(TournamentData[[#This Row],[Team Number]],CoreValuesResults[Team Number],CoreValuesResults[Core Values Rank],NumberOfTeams+1,0,))</f>
        <v>1</v>
      </c>
      <c r="K118" s="63">
        <f>IF(TournamentData[[#This Row],[Team Number]]="","",_xlfn.XLOOKUP(TournamentData[[#This Row],[Team Number]],InnovationProjectResults[Team Number],InnovationProjectResults[Innovation Project Rank],NumberOfTeams+1,0,))</f>
        <v>1</v>
      </c>
      <c r="L118" s="63">
        <f>IF(TournamentData[[#This Row],[Team Number]]="","",_xlfn.XLOOKUP(TournamentData[[#This Row],[Team Number]],RobotDesignResults[Team Number],RobotDesignResults[Robot Design Rank],NumberOfTeams+1,0,))</f>
        <v>1</v>
      </c>
      <c r="M118"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18" s="64">
        <f>IF(TournamentData[[#This Row],[Team Number]]="","",IF(M118,RANK(M118,M$3:M$202,1)-COUNTIF(M$3:M$202,0),NumberOfTeams+1))</f>
        <v>1</v>
      </c>
      <c r="O118" s="70">
        <f>_xlfn.XLOOKUP(TournamentData[[#This Row],[Team Number]],CoreValuesResults[Team Number],CoreValuesResults[Breakthrough Selection],0,0,)</f>
        <v>0</v>
      </c>
      <c r="P118" s="70">
        <f>_xlfn.XLOOKUP(TournamentData[[#This Row],[Team Number]],CoreValuesResults[Team Number],CoreValuesResults[Rising All-Star Selection],0,0,)</f>
        <v>0</v>
      </c>
      <c r="Q118" s="70">
        <f>_xlfn.XLOOKUP(TournamentData[[#This Row],[Team Number]],CoreValuesResults[Team Number],CoreValuesResults[Motivate Selection],0,0,)</f>
        <v>0</v>
      </c>
      <c r="R118" s="66"/>
      <c r="S118" s="66"/>
      <c r="T118" s="67"/>
      <c r="U118" s="63">
        <f>_xlfn.XLOOKUP(TournamentData[[#This Row],[Team Number]],CoreValuesResults[Team Number],CoreValuesResults[Core Values Score],0,0,)</f>
        <v>0</v>
      </c>
      <c r="V118" s="63">
        <f>_xlfn.XLOOKUP(TournamentData[[#This Row],[Team Number]],InnovationProjectResults[Team Number],InnovationProjectResults[Innovation Project Score],0,0,)</f>
        <v>0</v>
      </c>
      <c r="W118" s="63">
        <f>_xlfn.XLOOKUP(TournamentData[[#This Row],[Team Number]],RobotDesignResults[Team Number],RobotDesignResults[Robot Design Score],0,0,)</f>
        <v>0</v>
      </c>
      <c r="X118"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18" s="71">
        <f t="shared" si="3"/>
        <v>0</v>
      </c>
      <c r="Z118" s="66"/>
    </row>
    <row r="119" spans="1:26" ht="21" customHeight="1" x14ac:dyDescent="0.45">
      <c r="A119">
        <f>_xlfn.XLOOKUP(117,OfficialTeamList[Row],OfficialTeamList[Team Number],"ERROR",0)</f>
        <v>0</v>
      </c>
      <c r="B119" s="62" t="str">
        <f>_xlfn.XLOOKUP(TournamentData[[#This Row],[Team Number]],OfficialTeamList[Team Number],OfficialTeamList[Team Name],"",0,)</f>
        <v/>
      </c>
      <c r="C119" s="63">
        <f>IF(TournamentData[[#This Row],[Team Number]]="","",_xlfn.XLOOKUP(TournamentData[[#This Row],[Team Number]],RobotGameScores[Team Number],RobotGameScores[Robot Game 1 Score],0,0,))</f>
        <v>0</v>
      </c>
      <c r="D119" s="63">
        <f>IF(TournamentData[[#This Row],[Team Number]]="","",_xlfn.XLOOKUP(TournamentData[[#This Row],[Team Number]],RobotGameScores[Team Number],RobotGameScores[Robot Game 2 Score],0,0,))</f>
        <v>0</v>
      </c>
      <c r="E119" s="63">
        <f>IF(TournamentData[[#This Row],[Team Number]]="","",_xlfn.XLOOKUP(TournamentData[[#This Row],[Team Number]],RobotGameScores[Team Number],RobotGameScores[Robot Game 3 Score],0,0,))</f>
        <v>0</v>
      </c>
      <c r="F119" s="63">
        <f>IF(TournamentData[[#This Row],[Team Number]]="","",_xlfn.XLOOKUP(TournamentData[[#This Row],[Team Number]],RobotGameScores[Team Number],RobotGameScores[Robot Game 4 Score],0,0,))</f>
        <v>0</v>
      </c>
      <c r="G119" s="63">
        <f>IF(TournamentData[[#This Row],[Team Number]]="","",_xlfn.XLOOKUP(TournamentData[[#This Row],[Team Number]],RobotGameScores[Team Number],RobotGameScores[Robot Game 5 Score],0,0,))</f>
        <v>0</v>
      </c>
      <c r="H119"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19" s="63">
        <f>IF(TournamentData[[#This Row],[Team Number]]="","",_xlfn.RANK.EQ(TournamentData[[#This Row],[Max Robot Game Score]],TournamentData[Max Robot Game Score]))</f>
        <v>1</v>
      </c>
      <c r="J119" s="63">
        <f>IF(TournamentData[[#This Row],[Team Number]]="","",_xlfn.XLOOKUP(TournamentData[[#This Row],[Team Number]],CoreValuesResults[Team Number],CoreValuesResults[Core Values Rank],NumberOfTeams+1,0,))</f>
        <v>1</v>
      </c>
      <c r="K119" s="63">
        <f>IF(TournamentData[[#This Row],[Team Number]]="","",_xlfn.XLOOKUP(TournamentData[[#This Row],[Team Number]],InnovationProjectResults[Team Number],InnovationProjectResults[Innovation Project Rank],NumberOfTeams+1,0,))</f>
        <v>1</v>
      </c>
      <c r="L119" s="63">
        <f>IF(TournamentData[[#This Row],[Team Number]]="","",_xlfn.XLOOKUP(TournamentData[[#This Row],[Team Number]],RobotDesignResults[Team Number],RobotDesignResults[Robot Design Rank],NumberOfTeams+1,0,))</f>
        <v>1</v>
      </c>
      <c r="M119"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19" s="64">
        <f>IF(TournamentData[[#This Row],[Team Number]]="","",IF(M119,RANK(M119,M$3:M$202,1)-COUNTIF(M$3:M$202,0),NumberOfTeams+1))</f>
        <v>1</v>
      </c>
      <c r="O119" s="70">
        <f>_xlfn.XLOOKUP(TournamentData[[#This Row],[Team Number]],CoreValuesResults[Team Number],CoreValuesResults[Breakthrough Selection],0,0,)</f>
        <v>0</v>
      </c>
      <c r="P119" s="70">
        <f>_xlfn.XLOOKUP(TournamentData[[#This Row],[Team Number]],CoreValuesResults[Team Number],CoreValuesResults[Rising All-Star Selection],0,0,)</f>
        <v>0</v>
      </c>
      <c r="Q119" s="70">
        <f>_xlfn.XLOOKUP(TournamentData[[#This Row],[Team Number]],CoreValuesResults[Team Number],CoreValuesResults[Motivate Selection],0,0,)</f>
        <v>0</v>
      </c>
      <c r="R119" s="66"/>
      <c r="S119" s="66"/>
      <c r="T119" s="67"/>
      <c r="U119" s="63">
        <f>_xlfn.XLOOKUP(TournamentData[[#This Row],[Team Number]],CoreValuesResults[Team Number],CoreValuesResults[Core Values Score],0,0,)</f>
        <v>0</v>
      </c>
      <c r="V119" s="63">
        <f>_xlfn.XLOOKUP(TournamentData[[#This Row],[Team Number]],InnovationProjectResults[Team Number],InnovationProjectResults[Innovation Project Score],0,0,)</f>
        <v>0</v>
      </c>
      <c r="W119" s="63">
        <f>_xlfn.XLOOKUP(TournamentData[[#This Row],[Team Number]],RobotDesignResults[Team Number],RobotDesignResults[Robot Design Score],0,0,)</f>
        <v>0</v>
      </c>
      <c r="X119"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19" s="71">
        <f t="shared" si="3"/>
        <v>0</v>
      </c>
      <c r="Z119" s="66"/>
    </row>
    <row r="120" spans="1:26" ht="21" customHeight="1" x14ac:dyDescent="0.45">
      <c r="A120">
        <f>_xlfn.XLOOKUP(118,OfficialTeamList[Row],OfficialTeamList[Team Number],"ERROR",0)</f>
        <v>0</v>
      </c>
      <c r="B120" s="62" t="str">
        <f>_xlfn.XLOOKUP(TournamentData[[#This Row],[Team Number]],OfficialTeamList[Team Number],OfficialTeamList[Team Name],"",0,)</f>
        <v/>
      </c>
      <c r="C120" s="63">
        <f>IF(TournamentData[[#This Row],[Team Number]]="","",_xlfn.XLOOKUP(TournamentData[[#This Row],[Team Number]],RobotGameScores[Team Number],RobotGameScores[Robot Game 1 Score],0,0,))</f>
        <v>0</v>
      </c>
      <c r="D120" s="63">
        <f>IF(TournamentData[[#This Row],[Team Number]]="","",_xlfn.XLOOKUP(TournamentData[[#This Row],[Team Number]],RobotGameScores[Team Number],RobotGameScores[Robot Game 2 Score],0,0,))</f>
        <v>0</v>
      </c>
      <c r="E120" s="63">
        <f>IF(TournamentData[[#This Row],[Team Number]]="","",_xlfn.XLOOKUP(TournamentData[[#This Row],[Team Number]],RobotGameScores[Team Number],RobotGameScores[Robot Game 3 Score],0,0,))</f>
        <v>0</v>
      </c>
      <c r="F120" s="63">
        <f>IF(TournamentData[[#This Row],[Team Number]]="","",_xlfn.XLOOKUP(TournamentData[[#This Row],[Team Number]],RobotGameScores[Team Number],RobotGameScores[Robot Game 4 Score],0,0,))</f>
        <v>0</v>
      </c>
      <c r="G120" s="63">
        <f>IF(TournamentData[[#This Row],[Team Number]]="","",_xlfn.XLOOKUP(TournamentData[[#This Row],[Team Number]],RobotGameScores[Team Number],RobotGameScores[Robot Game 5 Score],0,0,))</f>
        <v>0</v>
      </c>
      <c r="H120"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20" s="63">
        <f>IF(TournamentData[[#This Row],[Team Number]]="","",_xlfn.RANK.EQ(TournamentData[[#This Row],[Max Robot Game Score]],TournamentData[Max Robot Game Score]))</f>
        <v>1</v>
      </c>
      <c r="J120" s="63">
        <f>IF(TournamentData[[#This Row],[Team Number]]="","",_xlfn.XLOOKUP(TournamentData[[#This Row],[Team Number]],CoreValuesResults[Team Number],CoreValuesResults[Core Values Rank],NumberOfTeams+1,0,))</f>
        <v>1</v>
      </c>
      <c r="K120" s="63">
        <f>IF(TournamentData[[#This Row],[Team Number]]="","",_xlfn.XLOOKUP(TournamentData[[#This Row],[Team Number]],InnovationProjectResults[Team Number],InnovationProjectResults[Innovation Project Rank],NumberOfTeams+1,0,))</f>
        <v>1</v>
      </c>
      <c r="L120" s="63">
        <f>IF(TournamentData[[#This Row],[Team Number]]="","",_xlfn.XLOOKUP(TournamentData[[#This Row],[Team Number]],RobotDesignResults[Team Number],RobotDesignResults[Robot Design Rank],NumberOfTeams+1,0,))</f>
        <v>1</v>
      </c>
      <c r="M120"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20" s="64">
        <f>IF(TournamentData[[#This Row],[Team Number]]="","",IF(M120,RANK(M120,M$3:M$202,1)-COUNTIF(M$3:M$202,0),NumberOfTeams+1))</f>
        <v>1</v>
      </c>
      <c r="O120" s="70">
        <f>_xlfn.XLOOKUP(TournamentData[[#This Row],[Team Number]],CoreValuesResults[Team Number],CoreValuesResults[Breakthrough Selection],0,0,)</f>
        <v>0</v>
      </c>
      <c r="P120" s="70">
        <f>_xlfn.XLOOKUP(TournamentData[[#This Row],[Team Number]],CoreValuesResults[Team Number],CoreValuesResults[Rising All-Star Selection],0,0,)</f>
        <v>0</v>
      </c>
      <c r="Q120" s="70">
        <f>_xlfn.XLOOKUP(TournamentData[[#This Row],[Team Number]],CoreValuesResults[Team Number],CoreValuesResults[Motivate Selection],0,0,)</f>
        <v>0</v>
      </c>
      <c r="R120" s="66"/>
      <c r="S120" s="66"/>
      <c r="T120" s="67"/>
      <c r="U120" s="63">
        <f>_xlfn.XLOOKUP(TournamentData[[#This Row],[Team Number]],CoreValuesResults[Team Number],CoreValuesResults[Core Values Score],0,0,)</f>
        <v>0</v>
      </c>
      <c r="V120" s="63">
        <f>_xlfn.XLOOKUP(TournamentData[[#This Row],[Team Number]],InnovationProjectResults[Team Number],InnovationProjectResults[Innovation Project Score],0,0,)</f>
        <v>0</v>
      </c>
      <c r="W120" s="63">
        <f>_xlfn.XLOOKUP(TournamentData[[#This Row],[Team Number]],RobotDesignResults[Team Number],RobotDesignResults[Robot Design Score],0,0,)</f>
        <v>0</v>
      </c>
      <c r="X120"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20" s="71">
        <f t="shared" si="3"/>
        <v>0</v>
      </c>
      <c r="Z120" s="66"/>
    </row>
    <row r="121" spans="1:26" ht="21" customHeight="1" x14ac:dyDescent="0.45">
      <c r="A121">
        <f>_xlfn.XLOOKUP(119,OfficialTeamList[Row],OfficialTeamList[Team Number],"ERROR",0)</f>
        <v>0</v>
      </c>
      <c r="B121" s="62" t="str">
        <f>_xlfn.XLOOKUP(TournamentData[[#This Row],[Team Number]],OfficialTeamList[Team Number],OfficialTeamList[Team Name],"",0,)</f>
        <v/>
      </c>
      <c r="C121" s="63">
        <f>IF(TournamentData[[#This Row],[Team Number]]="","",_xlfn.XLOOKUP(TournamentData[[#This Row],[Team Number]],RobotGameScores[Team Number],RobotGameScores[Robot Game 1 Score],0,0,))</f>
        <v>0</v>
      </c>
      <c r="D121" s="63">
        <f>IF(TournamentData[[#This Row],[Team Number]]="","",_xlfn.XLOOKUP(TournamentData[[#This Row],[Team Number]],RobotGameScores[Team Number],RobotGameScores[Robot Game 2 Score],0,0,))</f>
        <v>0</v>
      </c>
      <c r="E121" s="63">
        <f>IF(TournamentData[[#This Row],[Team Number]]="","",_xlfn.XLOOKUP(TournamentData[[#This Row],[Team Number]],RobotGameScores[Team Number],RobotGameScores[Robot Game 3 Score],0,0,))</f>
        <v>0</v>
      </c>
      <c r="F121" s="63">
        <f>IF(TournamentData[[#This Row],[Team Number]]="","",_xlfn.XLOOKUP(TournamentData[[#This Row],[Team Number]],RobotGameScores[Team Number],RobotGameScores[Robot Game 4 Score],0,0,))</f>
        <v>0</v>
      </c>
      <c r="G121" s="63">
        <f>IF(TournamentData[[#This Row],[Team Number]]="","",_xlfn.XLOOKUP(TournamentData[[#This Row],[Team Number]],RobotGameScores[Team Number],RobotGameScores[Robot Game 5 Score],0,0,))</f>
        <v>0</v>
      </c>
      <c r="H121"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21" s="63">
        <f>IF(TournamentData[[#This Row],[Team Number]]="","",_xlfn.RANK.EQ(TournamentData[[#This Row],[Max Robot Game Score]],TournamentData[Max Robot Game Score]))</f>
        <v>1</v>
      </c>
      <c r="J121" s="63">
        <f>IF(TournamentData[[#This Row],[Team Number]]="","",_xlfn.XLOOKUP(TournamentData[[#This Row],[Team Number]],CoreValuesResults[Team Number],CoreValuesResults[Core Values Rank],NumberOfTeams+1,0,))</f>
        <v>1</v>
      </c>
      <c r="K121" s="63">
        <f>IF(TournamentData[[#This Row],[Team Number]]="","",_xlfn.XLOOKUP(TournamentData[[#This Row],[Team Number]],InnovationProjectResults[Team Number],InnovationProjectResults[Innovation Project Rank],NumberOfTeams+1,0,))</f>
        <v>1</v>
      </c>
      <c r="L121" s="63">
        <f>IF(TournamentData[[#This Row],[Team Number]]="","",_xlfn.XLOOKUP(TournamentData[[#This Row],[Team Number]],RobotDesignResults[Team Number],RobotDesignResults[Robot Design Rank],NumberOfTeams+1,0,))</f>
        <v>1</v>
      </c>
      <c r="M121"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21" s="64">
        <f>IF(TournamentData[[#This Row],[Team Number]]="","",IF(M121,RANK(M121,M$3:M$202,1)-COUNTIF(M$3:M$202,0),NumberOfTeams+1))</f>
        <v>1</v>
      </c>
      <c r="O121" s="70">
        <f>_xlfn.XLOOKUP(TournamentData[[#This Row],[Team Number]],CoreValuesResults[Team Number],CoreValuesResults[Breakthrough Selection],0,0,)</f>
        <v>0</v>
      </c>
      <c r="P121" s="70">
        <f>_xlfn.XLOOKUP(TournamentData[[#This Row],[Team Number]],CoreValuesResults[Team Number],CoreValuesResults[Rising All-Star Selection],0,0,)</f>
        <v>0</v>
      </c>
      <c r="Q121" s="70">
        <f>_xlfn.XLOOKUP(TournamentData[[#This Row],[Team Number]],CoreValuesResults[Team Number],CoreValuesResults[Motivate Selection],0,0,)</f>
        <v>0</v>
      </c>
      <c r="R121" s="66"/>
      <c r="S121" s="66"/>
      <c r="T121" s="67"/>
      <c r="U121" s="63">
        <f>_xlfn.XLOOKUP(TournamentData[[#This Row],[Team Number]],CoreValuesResults[Team Number],CoreValuesResults[Core Values Score],0,0,)</f>
        <v>0</v>
      </c>
      <c r="V121" s="63">
        <f>_xlfn.XLOOKUP(TournamentData[[#This Row],[Team Number]],InnovationProjectResults[Team Number],InnovationProjectResults[Innovation Project Score],0,0,)</f>
        <v>0</v>
      </c>
      <c r="W121" s="63">
        <f>_xlfn.XLOOKUP(TournamentData[[#This Row],[Team Number]],RobotDesignResults[Team Number],RobotDesignResults[Robot Design Score],0,0,)</f>
        <v>0</v>
      </c>
      <c r="X121"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21" s="71">
        <f t="shared" si="3"/>
        <v>0</v>
      </c>
      <c r="Z121" s="66"/>
    </row>
    <row r="122" spans="1:26" ht="21" customHeight="1" x14ac:dyDescent="0.45">
      <c r="A122">
        <f>_xlfn.XLOOKUP(120,OfficialTeamList[Row],OfficialTeamList[Team Number],"ERROR",0)</f>
        <v>0</v>
      </c>
      <c r="B122" s="62" t="str">
        <f>_xlfn.XLOOKUP(TournamentData[[#This Row],[Team Number]],OfficialTeamList[Team Number],OfficialTeamList[Team Name],"",0,)</f>
        <v/>
      </c>
      <c r="C122" s="63">
        <f>IF(TournamentData[[#This Row],[Team Number]]="","",_xlfn.XLOOKUP(TournamentData[[#This Row],[Team Number]],RobotGameScores[Team Number],RobotGameScores[Robot Game 1 Score],0,0,))</f>
        <v>0</v>
      </c>
      <c r="D122" s="63">
        <f>IF(TournamentData[[#This Row],[Team Number]]="","",_xlfn.XLOOKUP(TournamentData[[#This Row],[Team Number]],RobotGameScores[Team Number],RobotGameScores[Robot Game 2 Score],0,0,))</f>
        <v>0</v>
      </c>
      <c r="E122" s="63">
        <f>IF(TournamentData[[#This Row],[Team Number]]="","",_xlfn.XLOOKUP(TournamentData[[#This Row],[Team Number]],RobotGameScores[Team Number],RobotGameScores[Robot Game 3 Score],0,0,))</f>
        <v>0</v>
      </c>
      <c r="F122" s="63">
        <f>IF(TournamentData[[#This Row],[Team Number]]="","",_xlfn.XLOOKUP(TournamentData[[#This Row],[Team Number]],RobotGameScores[Team Number],RobotGameScores[Robot Game 4 Score],0,0,))</f>
        <v>0</v>
      </c>
      <c r="G122" s="63">
        <f>IF(TournamentData[[#This Row],[Team Number]]="","",_xlfn.XLOOKUP(TournamentData[[#This Row],[Team Number]],RobotGameScores[Team Number],RobotGameScores[Robot Game 5 Score],0,0,))</f>
        <v>0</v>
      </c>
      <c r="H122"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22" s="63">
        <f>IF(TournamentData[[#This Row],[Team Number]]="","",_xlfn.RANK.EQ(TournamentData[[#This Row],[Max Robot Game Score]],TournamentData[Max Robot Game Score]))</f>
        <v>1</v>
      </c>
      <c r="J122" s="63">
        <f>IF(TournamentData[[#This Row],[Team Number]]="","",_xlfn.XLOOKUP(TournamentData[[#This Row],[Team Number]],CoreValuesResults[Team Number],CoreValuesResults[Core Values Rank],NumberOfTeams+1,0,))</f>
        <v>1</v>
      </c>
      <c r="K122" s="63">
        <f>IF(TournamentData[[#This Row],[Team Number]]="","",_xlfn.XLOOKUP(TournamentData[[#This Row],[Team Number]],InnovationProjectResults[Team Number],InnovationProjectResults[Innovation Project Rank],NumberOfTeams+1,0,))</f>
        <v>1</v>
      </c>
      <c r="L122" s="63">
        <f>IF(TournamentData[[#This Row],[Team Number]]="","",_xlfn.XLOOKUP(TournamentData[[#This Row],[Team Number]],RobotDesignResults[Team Number],RobotDesignResults[Robot Design Rank],NumberOfTeams+1,0,))</f>
        <v>1</v>
      </c>
      <c r="M122"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22" s="64">
        <f>IF(TournamentData[[#This Row],[Team Number]]="","",IF(M122,RANK(M122,M$3:M$202,1)-COUNTIF(M$3:M$202,0),NumberOfTeams+1))</f>
        <v>1</v>
      </c>
      <c r="O122" s="70">
        <f>_xlfn.XLOOKUP(TournamentData[[#This Row],[Team Number]],CoreValuesResults[Team Number],CoreValuesResults[Breakthrough Selection],0,0,)</f>
        <v>0</v>
      </c>
      <c r="P122" s="70">
        <f>_xlfn.XLOOKUP(TournamentData[[#This Row],[Team Number]],CoreValuesResults[Team Number],CoreValuesResults[Rising All-Star Selection],0,0,)</f>
        <v>0</v>
      </c>
      <c r="Q122" s="70">
        <f>_xlfn.XLOOKUP(TournamentData[[#This Row],[Team Number]],CoreValuesResults[Team Number],CoreValuesResults[Motivate Selection],0,0,)</f>
        <v>0</v>
      </c>
      <c r="R122" s="66"/>
      <c r="S122" s="66"/>
      <c r="T122" s="67"/>
      <c r="U122" s="63">
        <f>_xlfn.XLOOKUP(TournamentData[[#This Row],[Team Number]],CoreValuesResults[Team Number],CoreValuesResults[Core Values Score],0,0,)</f>
        <v>0</v>
      </c>
      <c r="V122" s="63">
        <f>_xlfn.XLOOKUP(TournamentData[[#This Row],[Team Number]],InnovationProjectResults[Team Number],InnovationProjectResults[Innovation Project Score],0,0,)</f>
        <v>0</v>
      </c>
      <c r="W122" s="63">
        <f>_xlfn.XLOOKUP(TournamentData[[#This Row],[Team Number]],RobotDesignResults[Team Number],RobotDesignResults[Robot Design Score],0,0,)</f>
        <v>0</v>
      </c>
      <c r="X122"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22" s="71">
        <f t="shared" si="3"/>
        <v>0</v>
      </c>
      <c r="Z122" s="66"/>
    </row>
    <row r="123" spans="1:26" ht="21" customHeight="1" x14ac:dyDescent="0.45">
      <c r="A123">
        <f>_xlfn.XLOOKUP(121,OfficialTeamList[Row],OfficialTeamList[Team Number],"ERROR",0)</f>
        <v>0</v>
      </c>
      <c r="B123" s="62" t="str">
        <f>_xlfn.XLOOKUP(TournamentData[[#This Row],[Team Number]],OfficialTeamList[Team Number],OfficialTeamList[Team Name],"",0,)</f>
        <v/>
      </c>
      <c r="C123" s="63">
        <f>IF(TournamentData[[#This Row],[Team Number]]="","",_xlfn.XLOOKUP(TournamentData[[#This Row],[Team Number]],RobotGameScores[Team Number],RobotGameScores[Robot Game 1 Score],0,0,))</f>
        <v>0</v>
      </c>
      <c r="D123" s="63">
        <f>IF(TournamentData[[#This Row],[Team Number]]="","",_xlfn.XLOOKUP(TournamentData[[#This Row],[Team Number]],RobotGameScores[Team Number],RobotGameScores[Robot Game 2 Score],0,0,))</f>
        <v>0</v>
      </c>
      <c r="E123" s="63">
        <f>IF(TournamentData[[#This Row],[Team Number]]="","",_xlfn.XLOOKUP(TournamentData[[#This Row],[Team Number]],RobotGameScores[Team Number],RobotGameScores[Robot Game 3 Score],0,0,))</f>
        <v>0</v>
      </c>
      <c r="F123" s="63">
        <f>IF(TournamentData[[#This Row],[Team Number]]="","",_xlfn.XLOOKUP(TournamentData[[#This Row],[Team Number]],RobotGameScores[Team Number],RobotGameScores[Robot Game 4 Score],0,0,))</f>
        <v>0</v>
      </c>
      <c r="G123" s="63">
        <f>IF(TournamentData[[#This Row],[Team Number]]="","",_xlfn.XLOOKUP(TournamentData[[#This Row],[Team Number]],RobotGameScores[Team Number],RobotGameScores[Robot Game 5 Score],0,0,))</f>
        <v>0</v>
      </c>
      <c r="H123"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23" s="63">
        <f>IF(TournamentData[[#This Row],[Team Number]]="","",_xlfn.RANK.EQ(TournamentData[[#This Row],[Max Robot Game Score]],TournamentData[Max Robot Game Score]))</f>
        <v>1</v>
      </c>
      <c r="J123" s="63">
        <f>IF(TournamentData[[#This Row],[Team Number]]="","",_xlfn.XLOOKUP(TournamentData[[#This Row],[Team Number]],CoreValuesResults[Team Number],CoreValuesResults[Core Values Rank],NumberOfTeams+1,0,))</f>
        <v>1</v>
      </c>
      <c r="K123" s="63">
        <f>IF(TournamentData[[#This Row],[Team Number]]="","",_xlfn.XLOOKUP(TournamentData[[#This Row],[Team Number]],InnovationProjectResults[Team Number],InnovationProjectResults[Innovation Project Rank],NumberOfTeams+1,0,))</f>
        <v>1</v>
      </c>
      <c r="L123" s="63">
        <f>IF(TournamentData[[#This Row],[Team Number]]="","",_xlfn.XLOOKUP(TournamentData[[#This Row],[Team Number]],RobotDesignResults[Team Number],RobotDesignResults[Robot Design Rank],NumberOfTeams+1,0,))</f>
        <v>1</v>
      </c>
      <c r="M123"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23" s="64">
        <f>IF(TournamentData[[#This Row],[Team Number]]="","",IF(M123,RANK(M123,M$3:M$202,1)-COUNTIF(M$3:M$202,0),NumberOfTeams+1))</f>
        <v>1</v>
      </c>
      <c r="O123" s="70">
        <f>_xlfn.XLOOKUP(TournamentData[[#This Row],[Team Number]],CoreValuesResults[Team Number],CoreValuesResults[Breakthrough Selection],0,0,)</f>
        <v>0</v>
      </c>
      <c r="P123" s="70">
        <f>_xlfn.XLOOKUP(TournamentData[[#This Row],[Team Number]],CoreValuesResults[Team Number],CoreValuesResults[Rising All-Star Selection],0,0,)</f>
        <v>0</v>
      </c>
      <c r="Q123" s="70">
        <f>_xlfn.XLOOKUP(TournamentData[[#This Row],[Team Number]],CoreValuesResults[Team Number],CoreValuesResults[Motivate Selection],0,0,)</f>
        <v>0</v>
      </c>
      <c r="R123" s="66"/>
      <c r="S123" s="66"/>
      <c r="T123" s="67"/>
      <c r="U123" s="63">
        <f>_xlfn.XLOOKUP(TournamentData[[#This Row],[Team Number]],CoreValuesResults[Team Number],CoreValuesResults[Core Values Score],0,0,)</f>
        <v>0</v>
      </c>
      <c r="V123" s="63">
        <f>_xlfn.XLOOKUP(TournamentData[[#This Row],[Team Number]],InnovationProjectResults[Team Number],InnovationProjectResults[Innovation Project Score],0,0,)</f>
        <v>0</v>
      </c>
      <c r="W123" s="63">
        <f>_xlfn.XLOOKUP(TournamentData[[#This Row],[Team Number]],RobotDesignResults[Team Number],RobotDesignResults[Robot Design Score],0,0,)</f>
        <v>0</v>
      </c>
      <c r="X123"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23" s="71">
        <f t="shared" si="3"/>
        <v>0</v>
      </c>
      <c r="Z123" s="66"/>
    </row>
    <row r="124" spans="1:26" ht="21" customHeight="1" x14ac:dyDescent="0.45">
      <c r="A124">
        <f>_xlfn.XLOOKUP(122,OfficialTeamList[Row],OfficialTeamList[Team Number],"ERROR",0)</f>
        <v>0</v>
      </c>
      <c r="B124" s="62" t="str">
        <f>_xlfn.XLOOKUP(TournamentData[[#This Row],[Team Number]],OfficialTeamList[Team Number],OfficialTeamList[Team Name],"",0,)</f>
        <v/>
      </c>
      <c r="C124" s="63">
        <f>IF(TournamentData[[#This Row],[Team Number]]="","",_xlfn.XLOOKUP(TournamentData[[#This Row],[Team Number]],RobotGameScores[Team Number],RobotGameScores[Robot Game 1 Score],0,0,))</f>
        <v>0</v>
      </c>
      <c r="D124" s="63">
        <f>IF(TournamentData[[#This Row],[Team Number]]="","",_xlfn.XLOOKUP(TournamentData[[#This Row],[Team Number]],RobotGameScores[Team Number],RobotGameScores[Robot Game 2 Score],0,0,))</f>
        <v>0</v>
      </c>
      <c r="E124" s="63">
        <f>IF(TournamentData[[#This Row],[Team Number]]="","",_xlfn.XLOOKUP(TournamentData[[#This Row],[Team Number]],RobotGameScores[Team Number],RobotGameScores[Robot Game 3 Score],0,0,))</f>
        <v>0</v>
      </c>
      <c r="F124" s="63">
        <f>IF(TournamentData[[#This Row],[Team Number]]="","",_xlfn.XLOOKUP(TournamentData[[#This Row],[Team Number]],RobotGameScores[Team Number],RobotGameScores[Robot Game 4 Score],0,0,))</f>
        <v>0</v>
      </c>
      <c r="G124" s="63">
        <f>IF(TournamentData[[#This Row],[Team Number]]="","",_xlfn.XLOOKUP(TournamentData[[#This Row],[Team Number]],RobotGameScores[Team Number],RobotGameScores[Robot Game 5 Score],0,0,))</f>
        <v>0</v>
      </c>
      <c r="H124"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24" s="63">
        <f>IF(TournamentData[[#This Row],[Team Number]]="","",_xlfn.RANK.EQ(TournamentData[[#This Row],[Max Robot Game Score]],TournamentData[Max Robot Game Score]))</f>
        <v>1</v>
      </c>
      <c r="J124" s="63">
        <f>IF(TournamentData[[#This Row],[Team Number]]="","",_xlfn.XLOOKUP(TournamentData[[#This Row],[Team Number]],CoreValuesResults[Team Number],CoreValuesResults[Core Values Rank],NumberOfTeams+1,0,))</f>
        <v>1</v>
      </c>
      <c r="K124" s="63">
        <f>IF(TournamentData[[#This Row],[Team Number]]="","",_xlfn.XLOOKUP(TournamentData[[#This Row],[Team Number]],InnovationProjectResults[Team Number],InnovationProjectResults[Innovation Project Rank],NumberOfTeams+1,0,))</f>
        <v>1</v>
      </c>
      <c r="L124" s="63">
        <f>IF(TournamentData[[#This Row],[Team Number]]="","",_xlfn.XLOOKUP(TournamentData[[#This Row],[Team Number]],RobotDesignResults[Team Number],RobotDesignResults[Robot Design Rank],NumberOfTeams+1,0,))</f>
        <v>1</v>
      </c>
      <c r="M124"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24" s="64">
        <f>IF(TournamentData[[#This Row],[Team Number]]="","",IF(M124,RANK(M124,M$3:M$202,1)-COUNTIF(M$3:M$202,0),NumberOfTeams+1))</f>
        <v>1</v>
      </c>
      <c r="O124" s="70">
        <f>_xlfn.XLOOKUP(TournamentData[[#This Row],[Team Number]],CoreValuesResults[Team Number],CoreValuesResults[Breakthrough Selection],0,0,)</f>
        <v>0</v>
      </c>
      <c r="P124" s="70">
        <f>_xlfn.XLOOKUP(TournamentData[[#This Row],[Team Number]],CoreValuesResults[Team Number],CoreValuesResults[Rising All-Star Selection],0,0,)</f>
        <v>0</v>
      </c>
      <c r="Q124" s="70">
        <f>_xlfn.XLOOKUP(TournamentData[[#This Row],[Team Number]],CoreValuesResults[Team Number],CoreValuesResults[Motivate Selection],0,0,)</f>
        <v>0</v>
      </c>
      <c r="R124" s="66"/>
      <c r="S124" s="66"/>
      <c r="T124" s="67"/>
      <c r="U124" s="63">
        <f>_xlfn.XLOOKUP(TournamentData[[#This Row],[Team Number]],CoreValuesResults[Team Number],CoreValuesResults[Core Values Score],0,0,)</f>
        <v>0</v>
      </c>
      <c r="V124" s="63">
        <f>_xlfn.XLOOKUP(TournamentData[[#This Row],[Team Number]],InnovationProjectResults[Team Number],InnovationProjectResults[Innovation Project Score],0,0,)</f>
        <v>0</v>
      </c>
      <c r="W124" s="63">
        <f>_xlfn.XLOOKUP(TournamentData[[#This Row],[Team Number]],RobotDesignResults[Team Number],RobotDesignResults[Robot Design Score],0,0,)</f>
        <v>0</v>
      </c>
      <c r="X124"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24" s="71">
        <f t="shared" si="3"/>
        <v>0</v>
      </c>
      <c r="Z124" s="66"/>
    </row>
    <row r="125" spans="1:26" ht="21" customHeight="1" x14ac:dyDescent="0.45">
      <c r="A125">
        <f>_xlfn.XLOOKUP(123,OfficialTeamList[Row],OfficialTeamList[Team Number],"ERROR",0)</f>
        <v>0</v>
      </c>
      <c r="B125" s="62" t="str">
        <f>_xlfn.XLOOKUP(TournamentData[[#This Row],[Team Number]],OfficialTeamList[Team Number],OfficialTeamList[Team Name],"",0,)</f>
        <v/>
      </c>
      <c r="C125" s="63">
        <f>IF(TournamentData[[#This Row],[Team Number]]="","",_xlfn.XLOOKUP(TournamentData[[#This Row],[Team Number]],RobotGameScores[Team Number],RobotGameScores[Robot Game 1 Score],0,0,))</f>
        <v>0</v>
      </c>
      <c r="D125" s="63">
        <f>IF(TournamentData[[#This Row],[Team Number]]="","",_xlfn.XLOOKUP(TournamentData[[#This Row],[Team Number]],RobotGameScores[Team Number],RobotGameScores[Robot Game 2 Score],0,0,))</f>
        <v>0</v>
      </c>
      <c r="E125" s="63">
        <f>IF(TournamentData[[#This Row],[Team Number]]="","",_xlfn.XLOOKUP(TournamentData[[#This Row],[Team Number]],RobotGameScores[Team Number],RobotGameScores[Robot Game 3 Score],0,0,))</f>
        <v>0</v>
      </c>
      <c r="F125" s="63">
        <f>IF(TournamentData[[#This Row],[Team Number]]="","",_xlfn.XLOOKUP(TournamentData[[#This Row],[Team Number]],RobotGameScores[Team Number],RobotGameScores[Robot Game 4 Score],0,0,))</f>
        <v>0</v>
      </c>
      <c r="G125" s="63">
        <f>IF(TournamentData[[#This Row],[Team Number]]="","",_xlfn.XLOOKUP(TournamentData[[#This Row],[Team Number]],RobotGameScores[Team Number],RobotGameScores[Robot Game 5 Score],0,0,))</f>
        <v>0</v>
      </c>
      <c r="H125"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25" s="63">
        <f>IF(TournamentData[[#This Row],[Team Number]]="","",_xlfn.RANK.EQ(TournamentData[[#This Row],[Max Robot Game Score]],TournamentData[Max Robot Game Score]))</f>
        <v>1</v>
      </c>
      <c r="J125" s="63">
        <f>IF(TournamentData[[#This Row],[Team Number]]="","",_xlfn.XLOOKUP(TournamentData[[#This Row],[Team Number]],CoreValuesResults[Team Number],CoreValuesResults[Core Values Rank],NumberOfTeams+1,0,))</f>
        <v>1</v>
      </c>
      <c r="K125" s="63">
        <f>IF(TournamentData[[#This Row],[Team Number]]="","",_xlfn.XLOOKUP(TournamentData[[#This Row],[Team Number]],InnovationProjectResults[Team Number],InnovationProjectResults[Innovation Project Rank],NumberOfTeams+1,0,))</f>
        <v>1</v>
      </c>
      <c r="L125" s="63">
        <f>IF(TournamentData[[#This Row],[Team Number]]="","",_xlfn.XLOOKUP(TournamentData[[#This Row],[Team Number]],RobotDesignResults[Team Number],RobotDesignResults[Robot Design Rank],NumberOfTeams+1,0,))</f>
        <v>1</v>
      </c>
      <c r="M125"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25" s="64">
        <f>IF(TournamentData[[#This Row],[Team Number]]="","",IF(M125,RANK(M125,M$3:M$202,1)-COUNTIF(M$3:M$202,0),NumberOfTeams+1))</f>
        <v>1</v>
      </c>
      <c r="O125" s="70">
        <f>_xlfn.XLOOKUP(TournamentData[[#This Row],[Team Number]],CoreValuesResults[Team Number],CoreValuesResults[Breakthrough Selection],0,0,)</f>
        <v>0</v>
      </c>
      <c r="P125" s="70">
        <f>_xlfn.XLOOKUP(TournamentData[[#This Row],[Team Number]],CoreValuesResults[Team Number],CoreValuesResults[Rising All-Star Selection],0,0,)</f>
        <v>0</v>
      </c>
      <c r="Q125" s="70">
        <f>_xlfn.XLOOKUP(TournamentData[[#This Row],[Team Number]],CoreValuesResults[Team Number],CoreValuesResults[Motivate Selection],0,0,)</f>
        <v>0</v>
      </c>
      <c r="R125" s="66"/>
      <c r="S125" s="66"/>
      <c r="T125" s="67"/>
      <c r="U125" s="63">
        <f>_xlfn.XLOOKUP(TournamentData[[#This Row],[Team Number]],CoreValuesResults[Team Number],CoreValuesResults[Core Values Score],0,0,)</f>
        <v>0</v>
      </c>
      <c r="V125" s="63">
        <f>_xlfn.XLOOKUP(TournamentData[[#This Row],[Team Number]],InnovationProjectResults[Team Number],InnovationProjectResults[Innovation Project Score],0,0,)</f>
        <v>0</v>
      </c>
      <c r="W125" s="63">
        <f>_xlfn.XLOOKUP(TournamentData[[#This Row],[Team Number]],RobotDesignResults[Team Number],RobotDesignResults[Robot Design Score],0,0,)</f>
        <v>0</v>
      </c>
      <c r="X125"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25" s="71">
        <f t="shared" si="3"/>
        <v>0</v>
      </c>
      <c r="Z125" s="66"/>
    </row>
    <row r="126" spans="1:26" ht="21" customHeight="1" x14ac:dyDescent="0.45">
      <c r="A126">
        <f>_xlfn.XLOOKUP(124,OfficialTeamList[Row],OfficialTeamList[Team Number],"ERROR",0)</f>
        <v>0</v>
      </c>
      <c r="B126" s="62" t="str">
        <f>_xlfn.XLOOKUP(TournamentData[[#This Row],[Team Number]],OfficialTeamList[Team Number],OfficialTeamList[Team Name],"",0,)</f>
        <v/>
      </c>
      <c r="C126" s="63">
        <f>IF(TournamentData[[#This Row],[Team Number]]="","",_xlfn.XLOOKUP(TournamentData[[#This Row],[Team Number]],RobotGameScores[Team Number],RobotGameScores[Robot Game 1 Score],0,0,))</f>
        <v>0</v>
      </c>
      <c r="D126" s="63">
        <f>IF(TournamentData[[#This Row],[Team Number]]="","",_xlfn.XLOOKUP(TournamentData[[#This Row],[Team Number]],RobotGameScores[Team Number],RobotGameScores[Robot Game 2 Score],0,0,))</f>
        <v>0</v>
      </c>
      <c r="E126" s="63">
        <f>IF(TournamentData[[#This Row],[Team Number]]="","",_xlfn.XLOOKUP(TournamentData[[#This Row],[Team Number]],RobotGameScores[Team Number],RobotGameScores[Robot Game 3 Score],0,0,))</f>
        <v>0</v>
      </c>
      <c r="F126" s="63">
        <f>IF(TournamentData[[#This Row],[Team Number]]="","",_xlfn.XLOOKUP(TournamentData[[#This Row],[Team Number]],RobotGameScores[Team Number],RobotGameScores[Robot Game 4 Score],0,0,))</f>
        <v>0</v>
      </c>
      <c r="G126" s="63">
        <f>IF(TournamentData[[#This Row],[Team Number]]="","",_xlfn.XLOOKUP(TournamentData[[#This Row],[Team Number]],RobotGameScores[Team Number],RobotGameScores[Robot Game 5 Score],0,0,))</f>
        <v>0</v>
      </c>
      <c r="H126"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26" s="63">
        <f>IF(TournamentData[[#This Row],[Team Number]]="","",_xlfn.RANK.EQ(TournamentData[[#This Row],[Max Robot Game Score]],TournamentData[Max Robot Game Score]))</f>
        <v>1</v>
      </c>
      <c r="J126" s="63">
        <f>IF(TournamentData[[#This Row],[Team Number]]="","",_xlfn.XLOOKUP(TournamentData[[#This Row],[Team Number]],CoreValuesResults[Team Number],CoreValuesResults[Core Values Rank],NumberOfTeams+1,0,))</f>
        <v>1</v>
      </c>
      <c r="K126" s="63">
        <f>IF(TournamentData[[#This Row],[Team Number]]="","",_xlfn.XLOOKUP(TournamentData[[#This Row],[Team Number]],InnovationProjectResults[Team Number],InnovationProjectResults[Innovation Project Rank],NumberOfTeams+1,0,))</f>
        <v>1</v>
      </c>
      <c r="L126" s="63">
        <f>IF(TournamentData[[#This Row],[Team Number]]="","",_xlfn.XLOOKUP(TournamentData[[#This Row],[Team Number]],RobotDesignResults[Team Number],RobotDesignResults[Robot Design Rank],NumberOfTeams+1,0,))</f>
        <v>1</v>
      </c>
      <c r="M126"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26" s="64">
        <f>IF(TournamentData[[#This Row],[Team Number]]="","",IF(M126,RANK(M126,M$3:M$202,1)-COUNTIF(M$3:M$202,0),NumberOfTeams+1))</f>
        <v>1</v>
      </c>
      <c r="O126" s="70">
        <f>_xlfn.XLOOKUP(TournamentData[[#This Row],[Team Number]],CoreValuesResults[Team Number],CoreValuesResults[Breakthrough Selection],0,0,)</f>
        <v>0</v>
      </c>
      <c r="P126" s="70">
        <f>_xlfn.XLOOKUP(TournamentData[[#This Row],[Team Number]],CoreValuesResults[Team Number],CoreValuesResults[Rising All-Star Selection],0,0,)</f>
        <v>0</v>
      </c>
      <c r="Q126" s="70">
        <f>_xlfn.XLOOKUP(TournamentData[[#This Row],[Team Number]],CoreValuesResults[Team Number],CoreValuesResults[Motivate Selection],0,0,)</f>
        <v>0</v>
      </c>
      <c r="R126" s="66"/>
      <c r="S126" s="66"/>
      <c r="T126" s="67"/>
      <c r="U126" s="63">
        <f>_xlfn.XLOOKUP(TournamentData[[#This Row],[Team Number]],CoreValuesResults[Team Number],CoreValuesResults[Core Values Score],0,0,)</f>
        <v>0</v>
      </c>
      <c r="V126" s="63">
        <f>_xlfn.XLOOKUP(TournamentData[[#This Row],[Team Number]],InnovationProjectResults[Team Number],InnovationProjectResults[Innovation Project Score],0,0,)</f>
        <v>0</v>
      </c>
      <c r="W126" s="63">
        <f>_xlfn.XLOOKUP(TournamentData[[#This Row],[Team Number]],RobotDesignResults[Team Number],RobotDesignResults[Robot Design Score],0,0,)</f>
        <v>0</v>
      </c>
      <c r="X126"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26" s="71">
        <f t="shared" si="3"/>
        <v>0</v>
      </c>
      <c r="Z126" s="66"/>
    </row>
    <row r="127" spans="1:26" ht="21" customHeight="1" x14ac:dyDescent="0.45">
      <c r="A127">
        <f>_xlfn.XLOOKUP(125,OfficialTeamList[Row],OfficialTeamList[Team Number],"ERROR",0)</f>
        <v>0</v>
      </c>
      <c r="B127" s="62" t="str">
        <f>_xlfn.XLOOKUP(TournamentData[[#This Row],[Team Number]],OfficialTeamList[Team Number],OfficialTeamList[Team Name],"",0,)</f>
        <v/>
      </c>
      <c r="C127" s="63">
        <f>IF(TournamentData[[#This Row],[Team Number]]="","",_xlfn.XLOOKUP(TournamentData[[#This Row],[Team Number]],RobotGameScores[Team Number],RobotGameScores[Robot Game 1 Score],0,0,))</f>
        <v>0</v>
      </c>
      <c r="D127" s="63">
        <f>IF(TournamentData[[#This Row],[Team Number]]="","",_xlfn.XLOOKUP(TournamentData[[#This Row],[Team Number]],RobotGameScores[Team Number],RobotGameScores[Robot Game 2 Score],0,0,))</f>
        <v>0</v>
      </c>
      <c r="E127" s="63">
        <f>IF(TournamentData[[#This Row],[Team Number]]="","",_xlfn.XLOOKUP(TournamentData[[#This Row],[Team Number]],RobotGameScores[Team Number],RobotGameScores[Robot Game 3 Score],0,0,))</f>
        <v>0</v>
      </c>
      <c r="F127" s="63">
        <f>IF(TournamentData[[#This Row],[Team Number]]="","",_xlfn.XLOOKUP(TournamentData[[#This Row],[Team Number]],RobotGameScores[Team Number],RobotGameScores[Robot Game 4 Score],0,0,))</f>
        <v>0</v>
      </c>
      <c r="G127" s="63">
        <f>IF(TournamentData[[#This Row],[Team Number]]="","",_xlfn.XLOOKUP(TournamentData[[#This Row],[Team Number]],RobotGameScores[Team Number],RobotGameScores[Robot Game 5 Score],0,0,))</f>
        <v>0</v>
      </c>
      <c r="H127"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27" s="63">
        <f>IF(TournamentData[[#This Row],[Team Number]]="","",_xlfn.RANK.EQ(TournamentData[[#This Row],[Max Robot Game Score]],TournamentData[Max Robot Game Score]))</f>
        <v>1</v>
      </c>
      <c r="J127" s="63">
        <f>IF(TournamentData[[#This Row],[Team Number]]="","",_xlfn.XLOOKUP(TournamentData[[#This Row],[Team Number]],CoreValuesResults[Team Number],CoreValuesResults[Core Values Rank],NumberOfTeams+1,0,))</f>
        <v>1</v>
      </c>
      <c r="K127" s="63">
        <f>IF(TournamentData[[#This Row],[Team Number]]="","",_xlfn.XLOOKUP(TournamentData[[#This Row],[Team Number]],InnovationProjectResults[Team Number],InnovationProjectResults[Innovation Project Rank],NumberOfTeams+1,0,))</f>
        <v>1</v>
      </c>
      <c r="L127" s="63">
        <f>IF(TournamentData[[#This Row],[Team Number]]="","",_xlfn.XLOOKUP(TournamentData[[#This Row],[Team Number]],RobotDesignResults[Team Number],RobotDesignResults[Robot Design Rank],NumberOfTeams+1,0,))</f>
        <v>1</v>
      </c>
      <c r="M127"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27" s="64">
        <f>IF(TournamentData[[#This Row],[Team Number]]="","",IF(M127,RANK(M127,M$3:M$202,1)-COUNTIF(M$3:M$202,0),NumberOfTeams+1))</f>
        <v>1</v>
      </c>
      <c r="O127" s="70">
        <f>_xlfn.XLOOKUP(TournamentData[[#This Row],[Team Number]],CoreValuesResults[Team Number],CoreValuesResults[Breakthrough Selection],0,0,)</f>
        <v>0</v>
      </c>
      <c r="P127" s="70">
        <f>_xlfn.XLOOKUP(TournamentData[[#This Row],[Team Number]],CoreValuesResults[Team Number],CoreValuesResults[Rising All-Star Selection],0,0,)</f>
        <v>0</v>
      </c>
      <c r="Q127" s="70">
        <f>_xlfn.XLOOKUP(TournamentData[[#This Row],[Team Number]],CoreValuesResults[Team Number],CoreValuesResults[Motivate Selection],0,0,)</f>
        <v>0</v>
      </c>
      <c r="R127" s="66"/>
      <c r="S127" s="66"/>
      <c r="T127" s="67"/>
      <c r="U127" s="63">
        <f>_xlfn.XLOOKUP(TournamentData[[#This Row],[Team Number]],CoreValuesResults[Team Number],CoreValuesResults[Core Values Score],0,0,)</f>
        <v>0</v>
      </c>
      <c r="V127" s="63">
        <f>_xlfn.XLOOKUP(TournamentData[[#This Row],[Team Number]],InnovationProjectResults[Team Number],InnovationProjectResults[Innovation Project Score],0,0,)</f>
        <v>0</v>
      </c>
      <c r="W127" s="63">
        <f>_xlfn.XLOOKUP(TournamentData[[#This Row],[Team Number]],RobotDesignResults[Team Number],RobotDesignResults[Robot Design Score],0,0,)</f>
        <v>0</v>
      </c>
      <c r="X127"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27" s="71">
        <f t="shared" si="3"/>
        <v>0</v>
      </c>
      <c r="Z127" s="66"/>
    </row>
    <row r="128" spans="1:26" ht="21" customHeight="1" x14ac:dyDescent="0.45">
      <c r="A128">
        <f>_xlfn.XLOOKUP(126,OfficialTeamList[Row],OfficialTeamList[Team Number],"ERROR",0)</f>
        <v>0</v>
      </c>
      <c r="B128" s="62" t="str">
        <f>_xlfn.XLOOKUP(TournamentData[[#This Row],[Team Number]],OfficialTeamList[Team Number],OfficialTeamList[Team Name],"",0,)</f>
        <v/>
      </c>
      <c r="C128" s="63">
        <f>IF(TournamentData[[#This Row],[Team Number]]="","",_xlfn.XLOOKUP(TournamentData[[#This Row],[Team Number]],RobotGameScores[Team Number],RobotGameScores[Robot Game 1 Score],0,0,))</f>
        <v>0</v>
      </c>
      <c r="D128" s="63">
        <f>IF(TournamentData[[#This Row],[Team Number]]="","",_xlfn.XLOOKUP(TournamentData[[#This Row],[Team Number]],RobotGameScores[Team Number],RobotGameScores[Robot Game 2 Score],0,0,))</f>
        <v>0</v>
      </c>
      <c r="E128" s="63">
        <f>IF(TournamentData[[#This Row],[Team Number]]="","",_xlfn.XLOOKUP(TournamentData[[#This Row],[Team Number]],RobotGameScores[Team Number],RobotGameScores[Robot Game 3 Score],0,0,))</f>
        <v>0</v>
      </c>
      <c r="F128" s="63">
        <f>IF(TournamentData[[#This Row],[Team Number]]="","",_xlfn.XLOOKUP(TournamentData[[#This Row],[Team Number]],RobotGameScores[Team Number],RobotGameScores[Robot Game 4 Score],0,0,))</f>
        <v>0</v>
      </c>
      <c r="G128" s="63">
        <f>IF(TournamentData[[#This Row],[Team Number]]="","",_xlfn.XLOOKUP(TournamentData[[#This Row],[Team Number]],RobotGameScores[Team Number],RobotGameScores[Robot Game 5 Score],0,0,))</f>
        <v>0</v>
      </c>
      <c r="H128"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28" s="63">
        <f>IF(TournamentData[[#This Row],[Team Number]]="","",_xlfn.RANK.EQ(TournamentData[[#This Row],[Max Robot Game Score]],TournamentData[Max Robot Game Score]))</f>
        <v>1</v>
      </c>
      <c r="J128" s="63">
        <f>IF(TournamentData[[#This Row],[Team Number]]="","",_xlfn.XLOOKUP(TournamentData[[#This Row],[Team Number]],CoreValuesResults[Team Number],CoreValuesResults[Core Values Rank],NumberOfTeams+1,0,))</f>
        <v>1</v>
      </c>
      <c r="K128" s="63">
        <f>IF(TournamentData[[#This Row],[Team Number]]="","",_xlfn.XLOOKUP(TournamentData[[#This Row],[Team Number]],InnovationProjectResults[Team Number],InnovationProjectResults[Innovation Project Rank],NumberOfTeams+1,0,))</f>
        <v>1</v>
      </c>
      <c r="L128" s="63">
        <f>IF(TournamentData[[#This Row],[Team Number]]="","",_xlfn.XLOOKUP(TournamentData[[#This Row],[Team Number]],RobotDesignResults[Team Number],RobotDesignResults[Robot Design Rank],NumberOfTeams+1,0,))</f>
        <v>1</v>
      </c>
      <c r="M128"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28" s="64">
        <f>IF(TournamentData[[#This Row],[Team Number]]="","",IF(M128,RANK(M128,M$3:M$202,1)-COUNTIF(M$3:M$202,0),NumberOfTeams+1))</f>
        <v>1</v>
      </c>
      <c r="O128" s="70">
        <f>_xlfn.XLOOKUP(TournamentData[[#This Row],[Team Number]],CoreValuesResults[Team Number],CoreValuesResults[Breakthrough Selection],0,0,)</f>
        <v>0</v>
      </c>
      <c r="P128" s="70">
        <f>_xlfn.XLOOKUP(TournamentData[[#This Row],[Team Number]],CoreValuesResults[Team Number],CoreValuesResults[Rising All-Star Selection],0,0,)</f>
        <v>0</v>
      </c>
      <c r="Q128" s="70">
        <f>_xlfn.XLOOKUP(TournamentData[[#This Row],[Team Number]],CoreValuesResults[Team Number],CoreValuesResults[Motivate Selection],0,0,)</f>
        <v>0</v>
      </c>
      <c r="R128" s="66"/>
      <c r="S128" s="66"/>
      <c r="T128" s="67"/>
      <c r="U128" s="63">
        <f>_xlfn.XLOOKUP(TournamentData[[#This Row],[Team Number]],CoreValuesResults[Team Number],CoreValuesResults[Core Values Score],0,0,)</f>
        <v>0</v>
      </c>
      <c r="V128" s="63">
        <f>_xlfn.XLOOKUP(TournamentData[[#This Row],[Team Number]],InnovationProjectResults[Team Number],InnovationProjectResults[Innovation Project Score],0,0,)</f>
        <v>0</v>
      </c>
      <c r="W128" s="63">
        <f>_xlfn.XLOOKUP(TournamentData[[#This Row],[Team Number]],RobotDesignResults[Team Number],RobotDesignResults[Robot Design Score],0,0,)</f>
        <v>0</v>
      </c>
      <c r="X128"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28" s="71">
        <f t="shared" si="3"/>
        <v>0</v>
      </c>
      <c r="Z128" s="66"/>
    </row>
    <row r="129" spans="1:26" ht="21" customHeight="1" x14ac:dyDescent="0.45">
      <c r="A129">
        <f>_xlfn.XLOOKUP(127,OfficialTeamList[Row],OfficialTeamList[Team Number],"ERROR",0)</f>
        <v>0</v>
      </c>
      <c r="B129" s="62" t="str">
        <f>_xlfn.XLOOKUP(TournamentData[[#This Row],[Team Number]],OfficialTeamList[Team Number],OfficialTeamList[Team Name],"",0,)</f>
        <v/>
      </c>
      <c r="C129" s="63">
        <f>IF(TournamentData[[#This Row],[Team Number]]="","",_xlfn.XLOOKUP(TournamentData[[#This Row],[Team Number]],RobotGameScores[Team Number],RobotGameScores[Robot Game 1 Score],0,0,))</f>
        <v>0</v>
      </c>
      <c r="D129" s="63">
        <f>IF(TournamentData[[#This Row],[Team Number]]="","",_xlfn.XLOOKUP(TournamentData[[#This Row],[Team Number]],RobotGameScores[Team Number],RobotGameScores[Robot Game 2 Score],0,0,))</f>
        <v>0</v>
      </c>
      <c r="E129" s="63">
        <f>IF(TournamentData[[#This Row],[Team Number]]="","",_xlfn.XLOOKUP(TournamentData[[#This Row],[Team Number]],RobotGameScores[Team Number],RobotGameScores[Robot Game 3 Score],0,0,))</f>
        <v>0</v>
      </c>
      <c r="F129" s="63">
        <f>IF(TournamentData[[#This Row],[Team Number]]="","",_xlfn.XLOOKUP(TournamentData[[#This Row],[Team Number]],RobotGameScores[Team Number],RobotGameScores[Robot Game 4 Score],0,0,))</f>
        <v>0</v>
      </c>
      <c r="G129" s="63">
        <f>IF(TournamentData[[#This Row],[Team Number]]="","",_xlfn.XLOOKUP(TournamentData[[#This Row],[Team Number]],RobotGameScores[Team Number],RobotGameScores[Robot Game 5 Score],0,0,))</f>
        <v>0</v>
      </c>
      <c r="H129"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29" s="63">
        <f>IF(TournamentData[[#This Row],[Team Number]]="","",_xlfn.RANK.EQ(TournamentData[[#This Row],[Max Robot Game Score]],TournamentData[Max Robot Game Score]))</f>
        <v>1</v>
      </c>
      <c r="J129" s="63">
        <f>IF(TournamentData[[#This Row],[Team Number]]="","",_xlfn.XLOOKUP(TournamentData[[#This Row],[Team Number]],CoreValuesResults[Team Number],CoreValuesResults[Core Values Rank],NumberOfTeams+1,0,))</f>
        <v>1</v>
      </c>
      <c r="K129" s="63">
        <f>IF(TournamentData[[#This Row],[Team Number]]="","",_xlfn.XLOOKUP(TournamentData[[#This Row],[Team Number]],InnovationProjectResults[Team Number],InnovationProjectResults[Innovation Project Rank],NumberOfTeams+1,0,))</f>
        <v>1</v>
      </c>
      <c r="L129" s="63">
        <f>IF(TournamentData[[#This Row],[Team Number]]="","",_xlfn.XLOOKUP(TournamentData[[#This Row],[Team Number]],RobotDesignResults[Team Number],RobotDesignResults[Robot Design Rank],NumberOfTeams+1,0,))</f>
        <v>1</v>
      </c>
      <c r="M129"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29" s="64">
        <f>IF(TournamentData[[#This Row],[Team Number]]="","",IF(M129,RANK(M129,M$3:M$202,1)-COUNTIF(M$3:M$202,0),NumberOfTeams+1))</f>
        <v>1</v>
      </c>
      <c r="O129" s="70">
        <f>_xlfn.XLOOKUP(TournamentData[[#This Row],[Team Number]],CoreValuesResults[Team Number],CoreValuesResults[Breakthrough Selection],0,0,)</f>
        <v>0</v>
      </c>
      <c r="P129" s="70">
        <f>_xlfn.XLOOKUP(TournamentData[[#This Row],[Team Number]],CoreValuesResults[Team Number],CoreValuesResults[Rising All-Star Selection],0,0,)</f>
        <v>0</v>
      </c>
      <c r="Q129" s="70">
        <f>_xlfn.XLOOKUP(TournamentData[[#This Row],[Team Number]],CoreValuesResults[Team Number],CoreValuesResults[Motivate Selection],0,0,)</f>
        <v>0</v>
      </c>
      <c r="R129" s="66"/>
      <c r="S129" s="66"/>
      <c r="T129" s="67"/>
      <c r="U129" s="63">
        <f>_xlfn.XLOOKUP(TournamentData[[#This Row],[Team Number]],CoreValuesResults[Team Number],CoreValuesResults[Core Values Score],0,0,)</f>
        <v>0</v>
      </c>
      <c r="V129" s="63">
        <f>_xlfn.XLOOKUP(TournamentData[[#This Row],[Team Number]],InnovationProjectResults[Team Number],InnovationProjectResults[Innovation Project Score],0,0,)</f>
        <v>0</v>
      </c>
      <c r="W129" s="63">
        <f>_xlfn.XLOOKUP(TournamentData[[#This Row],[Team Number]],RobotDesignResults[Team Number],RobotDesignResults[Robot Design Score],0,0,)</f>
        <v>0</v>
      </c>
      <c r="X129"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29" s="71">
        <f t="shared" si="3"/>
        <v>0</v>
      </c>
      <c r="Z129" s="66"/>
    </row>
    <row r="130" spans="1:26" ht="21" customHeight="1" x14ac:dyDescent="0.45">
      <c r="A130">
        <f>_xlfn.XLOOKUP(128,OfficialTeamList[Row],OfficialTeamList[Team Number],"ERROR",0)</f>
        <v>0</v>
      </c>
      <c r="B130" s="62" t="str">
        <f>_xlfn.XLOOKUP(TournamentData[[#This Row],[Team Number]],OfficialTeamList[Team Number],OfficialTeamList[Team Name],"",0,)</f>
        <v/>
      </c>
      <c r="C130" s="63">
        <f>IF(TournamentData[[#This Row],[Team Number]]="","",_xlfn.XLOOKUP(TournamentData[[#This Row],[Team Number]],RobotGameScores[Team Number],RobotGameScores[Robot Game 1 Score],0,0,))</f>
        <v>0</v>
      </c>
      <c r="D130" s="63">
        <f>IF(TournamentData[[#This Row],[Team Number]]="","",_xlfn.XLOOKUP(TournamentData[[#This Row],[Team Number]],RobotGameScores[Team Number],RobotGameScores[Robot Game 2 Score],0,0,))</f>
        <v>0</v>
      </c>
      <c r="E130" s="63">
        <f>IF(TournamentData[[#This Row],[Team Number]]="","",_xlfn.XLOOKUP(TournamentData[[#This Row],[Team Number]],RobotGameScores[Team Number],RobotGameScores[Robot Game 3 Score],0,0,))</f>
        <v>0</v>
      </c>
      <c r="F130" s="63">
        <f>IF(TournamentData[[#This Row],[Team Number]]="","",_xlfn.XLOOKUP(TournamentData[[#This Row],[Team Number]],RobotGameScores[Team Number],RobotGameScores[Robot Game 4 Score],0,0,))</f>
        <v>0</v>
      </c>
      <c r="G130" s="63">
        <f>IF(TournamentData[[#This Row],[Team Number]]="","",_xlfn.XLOOKUP(TournamentData[[#This Row],[Team Number]],RobotGameScores[Team Number],RobotGameScores[Robot Game 5 Score],0,0,))</f>
        <v>0</v>
      </c>
      <c r="H130"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30" s="63">
        <f>IF(TournamentData[[#This Row],[Team Number]]="","",_xlfn.RANK.EQ(TournamentData[[#This Row],[Max Robot Game Score]],TournamentData[Max Robot Game Score]))</f>
        <v>1</v>
      </c>
      <c r="J130" s="63">
        <f>IF(TournamentData[[#This Row],[Team Number]]="","",_xlfn.XLOOKUP(TournamentData[[#This Row],[Team Number]],CoreValuesResults[Team Number],CoreValuesResults[Core Values Rank],NumberOfTeams+1,0,))</f>
        <v>1</v>
      </c>
      <c r="K130" s="63">
        <f>IF(TournamentData[[#This Row],[Team Number]]="","",_xlfn.XLOOKUP(TournamentData[[#This Row],[Team Number]],InnovationProjectResults[Team Number],InnovationProjectResults[Innovation Project Rank],NumberOfTeams+1,0,))</f>
        <v>1</v>
      </c>
      <c r="L130" s="63">
        <f>IF(TournamentData[[#This Row],[Team Number]]="","",_xlfn.XLOOKUP(TournamentData[[#This Row],[Team Number]],RobotDesignResults[Team Number],RobotDesignResults[Robot Design Rank],NumberOfTeams+1,0,))</f>
        <v>1</v>
      </c>
      <c r="M130"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30" s="64">
        <f>IF(TournamentData[[#This Row],[Team Number]]="","",IF(M130,RANK(M130,M$3:M$202,1)-COUNTIF(M$3:M$202,0),NumberOfTeams+1))</f>
        <v>1</v>
      </c>
      <c r="O130" s="70">
        <f>_xlfn.XLOOKUP(TournamentData[[#This Row],[Team Number]],CoreValuesResults[Team Number],CoreValuesResults[Breakthrough Selection],0,0,)</f>
        <v>0</v>
      </c>
      <c r="P130" s="70">
        <f>_xlfn.XLOOKUP(TournamentData[[#This Row],[Team Number]],CoreValuesResults[Team Number],CoreValuesResults[Rising All-Star Selection],0,0,)</f>
        <v>0</v>
      </c>
      <c r="Q130" s="70">
        <f>_xlfn.XLOOKUP(TournamentData[[#This Row],[Team Number]],CoreValuesResults[Team Number],CoreValuesResults[Motivate Selection],0,0,)</f>
        <v>0</v>
      </c>
      <c r="R130" s="66"/>
      <c r="S130" s="66"/>
      <c r="T130" s="67"/>
      <c r="U130" s="63">
        <f>_xlfn.XLOOKUP(TournamentData[[#This Row],[Team Number]],CoreValuesResults[Team Number],CoreValuesResults[Core Values Score],0,0,)</f>
        <v>0</v>
      </c>
      <c r="V130" s="63">
        <f>_xlfn.XLOOKUP(TournamentData[[#This Row],[Team Number]],InnovationProjectResults[Team Number],InnovationProjectResults[Innovation Project Score],0,0,)</f>
        <v>0</v>
      </c>
      <c r="W130" s="63">
        <f>_xlfn.XLOOKUP(TournamentData[[#This Row],[Team Number]],RobotDesignResults[Team Number],RobotDesignResults[Robot Design Score],0,0,)</f>
        <v>0</v>
      </c>
      <c r="X130"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30" s="71">
        <f t="shared" si="3"/>
        <v>0</v>
      </c>
      <c r="Z130" s="66"/>
    </row>
    <row r="131" spans="1:26" ht="21" customHeight="1" x14ac:dyDescent="0.45">
      <c r="A131">
        <f>_xlfn.XLOOKUP(129,OfficialTeamList[Row],OfficialTeamList[Team Number],"ERROR",0)</f>
        <v>0</v>
      </c>
      <c r="B131" s="62" t="str">
        <f>_xlfn.XLOOKUP(TournamentData[[#This Row],[Team Number]],OfficialTeamList[Team Number],OfficialTeamList[Team Name],"",0,)</f>
        <v/>
      </c>
      <c r="C131" s="63">
        <f>IF(TournamentData[[#This Row],[Team Number]]="","",_xlfn.XLOOKUP(TournamentData[[#This Row],[Team Number]],RobotGameScores[Team Number],RobotGameScores[Robot Game 1 Score],0,0,))</f>
        <v>0</v>
      </c>
      <c r="D131" s="63">
        <f>IF(TournamentData[[#This Row],[Team Number]]="","",_xlfn.XLOOKUP(TournamentData[[#This Row],[Team Number]],RobotGameScores[Team Number],RobotGameScores[Robot Game 2 Score],0,0,))</f>
        <v>0</v>
      </c>
      <c r="E131" s="63">
        <f>IF(TournamentData[[#This Row],[Team Number]]="","",_xlfn.XLOOKUP(TournamentData[[#This Row],[Team Number]],RobotGameScores[Team Number],RobotGameScores[Robot Game 3 Score],0,0,))</f>
        <v>0</v>
      </c>
      <c r="F131" s="63">
        <f>IF(TournamentData[[#This Row],[Team Number]]="","",_xlfn.XLOOKUP(TournamentData[[#This Row],[Team Number]],RobotGameScores[Team Number],RobotGameScores[Robot Game 4 Score],0,0,))</f>
        <v>0</v>
      </c>
      <c r="G131" s="63">
        <f>IF(TournamentData[[#This Row],[Team Number]]="","",_xlfn.XLOOKUP(TournamentData[[#This Row],[Team Number]],RobotGameScores[Team Number],RobotGameScores[Robot Game 5 Score],0,0,))</f>
        <v>0</v>
      </c>
      <c r="H131"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31" s="63">
        <f>IF(TournamentData[[#This Row],[Team Number]]="","",_xlfn.RANK.EQ(TournamentData[[#This Row],[Max Robot Game Score]],TournamentData[Max Robot Game Score]))</f>
        <v>1</v>
      </c>
      <c r="J131" s="63">
        <f>IF(TournamentData[[#This Row],[Team Number]]="","",_xlfn.XLOOKUP(TournamentData[[#This Row],[Team Number]],CoreValuesResults[Team Number],CoreValuesResults[Core Values Rank],NumberOfTeams+1,0,))</f>
        <v>1</v>
      </c>
      <c r="K131" s="63">
        <f>IF(TournamentData[[#This Row],[Team Number]]="","",_xlfn.XLOOKUP(TournamentData[[#This Row],[Team Number]],InnovationProjectResults[Team Number],InnovationProjectResults[Innovation Project Rank],NumberOfTeams+1,0,))</f>
        <v>1</v>
      </c>
      <c r="L131" s="63">
        <f>IF(TournamentData[[#This Row],[Team Number]]="","",_xlfn.XLOOKUP(TournamentData[[#This Row],[Team Number]],RobotDesignResults[Team Number],RobotDesignResults[Robot Design Rank],NumberOfTeams+1,0,))</f>
        <v>1</v>
      </c>
      <c r="M131"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31" s="64">
        <f>IF(TournamentData[[#This Row],[Team Number]]="","",IF(M131,RANK(M131,M$3:M$202,1)-COUNTIF(M$3:M$202,0),NumberOfTeams+1))</f>
        <v>1</v>
      </c>
      <c r="O131" s="70">
        <f>_xlfn.XLOOKUP(TournamentData[[#This Row],[Team Number]],CoreValuesResults[Team Number],CoreValuesResults[Breakthrough Selection],0,0,)</f>
        <v>0</v>
      </c>
      <c r="P131" s="70">
        <f>_xlfn.XLOOKUP(TournamentData[[#This Row],[Team Number]],CoreValuesResults[Team Number],CoreValuesResults[Rising All-Star Selection],0,0,)</f>
        <v>0</v>
      </c>
      <c r="Q131" s="70">
        <f>_xlfn.XLOOKUP(TournamentData[[#This Row],[Team Number]],CoreValuesResults[Team Number],CoreValuesResults[Motivate Selection],0,0,)</f>
        <v>0</v>
      </c>
      <c r="R131" s="66"/>
      <c r="S131" s="66"/>
      <c r="T131" s="67"/>
      <c r="U131" s="63">
        <f>_xlfn.XLOOKUP(TournamentData[[#This Row],[Team Number]],CoreValuesResults[Team Number],CoreValuesResults[Core Values Score],0,0,)</f>
        <v>0</v>
      </c>
      <c r="V131" s="63">
        <f>_xlfn.XLOOKUP(TournamentData[[#This Row],[Team Number]],InnovationProjectResults[Team Number],InnovationProjectResults[Innovation Project Score],0,0,)</f>
        <v>0</v>
      </c>
      <c r="W131" s="63">
        <f>_xlfn.XLOOKUP(TournamentData[[#This Row],[Team Number]],RobotDesignResults[Team Number],RobotDesignResults[Robot Design Score],0,0,)</f>
        <v>0</v>
      </c>
      <c r="X131"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31" s="71">
        <f t="shared" ref="Y131:Y162" si="4">IF(X131,_xlfn.RANK.EQ(X131,X$3:X$110,0),NumberOfTeams)</f>
        <v>0</v>
      </c>
      <c r="Z131" s="66"/>
    </row>
    <row r="132" spans="1:26" ht="21" customHeight="1" x14ac:dyDescent="0.45">
      <c r="A132">
        <f>_xlfn.XLOOKUP(130,OfficialTeamList[Row],OfficialTeamList[Team Number],"ERROR",0)</f>
        <v>0</v>
      </c>
      <c r="B132" s="62" t="str">
        <f>_xlfn.XLOOKUP(TournamentData[[#This Row],[Team Number]],OfficialTeamList[Team Number],OfficialTeamList[Team Name],"",0,)</f>
        <v/>
      </c>
      <c r="C132" s="63">
        <f>IF(TournamentData[[#This Row],[Team Number]]="","",_xlfn.XLOOKUP(TournamentData[[#This Row],[Team Number]],RobotGameScores[Team Number],RobotGameScores[Robot Game 1 Score],0,0,))</f>
        <v>0</v>
      </c>
      <c r="D132" s="63">
        <f>IF(TournamentData[[#This Row],[Team Number]]="","",_xlfn.XLOOKUP(TournamentData[[#This Row],[Team Number]],RobotGameScores[Team Number],RobotGameScores[Robot Game 2 Score],0,0,))</f>
        <v>0</v>
      </c>
      <c r="E132" s="63">
        <f>IF(TournamentData[[#This Row],[Team Number]]="","",_xlfn.XLOOKUP(TournamentData[[#This Row],[Team Number]],RobotGameScores[Team Number],RobotGameScores[Robot Game 3 Score],0,0,))</f>
        <v>0</v>
      </c>
      <c r="F132" s="63">
        <f>IF(TournamentData[[#This Row],[Team Number]]="","",_xlfn.XLOOKUP(TournamentData[[#This Row],[Team Number]],RobotGameScores[Team Number],RobotGameScores[Robot Game 4 Score],0,0,))</f>
        <v>0</v>
      </c>
      <c r="G132" s="63">
        <f>IF(TournamentData[[#This Row],[Team Number]]="","",_xlfn.XLOOKUP(TournamentData[[#This Row],[Team Number]],RobotGameScores[Team Number],RobotGameScores[Robot Game 5 Score],0,0,))</f>
        <v>0</v>
      </c>
      <c r="H132"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32" s="63">
        <f>IF(TournamentData[[#This Row],[Team Number]]="","",_xlfn.RANK.EQ(TournamentData[[#This Row],[Max Robot Game Score]],TournamentData[Max Robot Game Score]))</f>
        <v>1</v>
      </c>
      <c r="J132" s="63">
        <f>IF(TournamentData[[#This Row],[Team Number]]="","",_xlfn.XLOOKUP(TournamentData[[#This Row],[Team Number]],CoreValuesResults[Team Number],CoreValuesResults[Core Values Rank],NumberOfTeams+1,0,))</f>
        <v>1</v>
      </c>
      <c r="K132" s="63">
        <f>IF(TournamentData[[#This Row],[Team Number]]="","",_xlfn.XLOOKUP(TournamentData[[#This Row],[Team Number]],InnovationProjectResults[Team Number],InnovationProjectResults[Innovation Project Rank],NumberOfTeams+1,0,))</f>
        <v>1</v>
      </c>
      <c r="L132" s="63">
        <f>IF(TournamentData[[#This Row],[Team Number]]="","",_xlfn.XLOOKUP(TournamentData[[#This Row],[Team Number]],RobotDesignResults[Team Number],RobotDesignResults[Robot Design Rank],NumberOfTeams+1,0,))</f>
        <v>1</v>
      </c>
      <c r="M132"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32" s="64">
        <f>IF(TournamentData[[#This Row],[Team Number]]="","",IF(M132,RANK(M132,M$3:M$202,1)-COUNTIF(M$3:M$202,0),NumberOfTeams+1))</f>
        <v>1</v>
      </c>
      <c r="O132" s="70">
        <f>_xlfn.XLOOKUP(TournamentData[[#This Row],[Team Number]],CoreValuesResults[Team Number],CoreValuesResults[Breakthrough Selection],0,0,)</f>
        <v>0</v>
      </c>
      <c r="P132" s="70">
        <f>_xlfn.XLOOKUP(TournamentData[[#This Row],[Team Number]],CoreValuesResults[Team Number],CoreValuesResults[Rising All-Star Selection],0,0,)</f>
        <v>0</v>
      </c>
      <c r="Q132" s="70">
        <f>_xlfn.XLOOKUP(TournamentData[[#This Row],[Team Number]],CoreValuesResults[Team Number],CoreValuesResults[Motivate Selection],0,0,)</f>
        <v>0</v>
      </c>
      <c r="R132" s="66"/>
      <c r="S132" s="66"/>
      <c r="T132" s="67"/>
      <c r="U132" s="63">
        <f>_xlfn.XLOOKUP(TournamentData[[#This Row],[Team Number]],CoreValuesResults[Team Number],CoreValuesResults[Core Values Score],0,0,)</f>
        <v>0</v>
      </c>
      <c r="V132" s="63">
        <f>_xlfn.XLOOKUP(TournamentData[[#This Row],[Team Number]],InnovationProjectResults[Team Number],InnovationProjectResults[Innovation Project Score],0,0,)</f>
        <v>0</v>
      </c>
      <c r="W132" s="63">
        <f>_xlfn.XLOOKUP(TournamentData[[#This Row],[Team Number]],RobotDesignResults[Team Number],RobotDesignResults[Robot Design Score],0,0,)</f>
        <v>0</v>
      </c>
      <c r="X132"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32" s="71">
        <f t="shared" si="4"/>
        <v>0</v>
      </c>
      <c r="Z132" s="66"/>
    </row>
    <row r="133" spans="1:26" ht="21" customHeight="1" x14ac:dyDescent="0.45">
      <c r="A133">
        <f>_xlfn.XLOOKUP(131,OfficialTeamList[Row],OfficialTeamList[Team Number],"ERROR",0)</f>
        <v>0</v>
      </c>
      <c r="B133" s="62" t="str">
        <f>_xlfn.XLOOKUP(TournamentData[[#This Row],[Team Number]],OfficialTeamList[Team Number],OfficialTeamList[Team Name],"",0,)</f>
        <v/>
      </c>
      <c r="C133" s="63">
        <f>IF(TournamentData[[#This Row],[Team Number]]="","",_xlfn.XLOOKUP(TournamentData[[#This Row],[Team Number]],RobotGameScores[Team Number],RobotGameScores[Robot Game 1 Score],0,0,))</f>
        <v>0</v>
      </c>
      <c r="D133" s="63">
        <f>IF(TournamentData[[#This Row],[Team Number]]="","",_xlfn.XLOOKUP(TournamentData[[#This Row],[Team Number]],RobotGameScores[Team Number],RobotGameScores[Robot Game 2 Score],0,0,))</f>
        <v>0</v>
      </c>
      <c r="E133" s="63">
        <f>IF(TournamentData[[#This Row],[Team Number]]="","",_xlfn.XLOOKUP(TournamentData[[#This Row],[Team Number]],RobotGameScores[Team Number],RobotGameScores[Robot Game 3 Score],0,0,))</f>
        <v>0</v>
      </c>
      <c r="F133" s="63">
        <f>IF(TournamentData[[#This Row],[Team Number]]="","",_xlfn.XLOOKUP(TournamentData[[#This Row],[Team Number]],RobotGameScores[Team Number],RobotGameScores[Robot Game 4 Score],0,0,))</f>
        <v>0</v>
      </c>
      <c r="G133" s="63">
        <f>IF(TournamentData[[#This Row],[Team Number]]="","",_xlfn.XLOOKUP(TournamentData[[#This Row],[Team Number]],RobotGameScores[Team Number],RobotGameScores[Robot Game 5 Score],0,0,))</f>
        <v>0</v>
      </c>
      <c r="H133"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33" s="63">
        <f>IF(TournamentData[[#This Row],[Team Number]]="","",_xlfn.RANK.EQ(TournamentData[[#This Row],[Max Robot Game Score]],TournamentData[Max Robot Game Score]))</f>
        <v>1</v>
      </c>
      <c r="J133" s="63">
        <f>IF(TournamentData[[#This Row],[Team Number]]="","",_xlfn.XLOOKUP(TournamentData[[#This Row],[Team Number]],CoreValuesResults[Team Number],CoreValuesResults[Core Values Rank],NumberOfTeams+1,0,))</f>
        <v>1</v>
      </c>
      <c r="K133" s="63">
        <f>IF(TournamentData[[#This Row],[Team Number]]="","",_xlfn.XLOOKUP(TournamentData[[#This Row],[Team Number]],InnovationProjectResults[Team Number],InnovationProjectResults[Innovation Project Rank],NumberOfTeams+1,0,))</f>
        <v>1</v>
      </c>
      <c r="L133" s="63">
        <f>IF(TournamentData[[#This Row],[Team Number]]="","",_xlfn.XLOOKUP(TournamentData[[#This Row],[Team Number]],RobotDesignResults[Team Number],RobotDesignResults[Robot Design Rank],NumberOfTeams+1,0,))</f>
        <v>1</v>
      </c>
      <c r="M133"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33" s="64">
        <f>IF(TournamentData[[#This Row],[Team Number]]="","",IF(M133,RANK(M133,M$3:M$202,1)-COUNTIF(M$3:M$202,0),NumberOfTeams+1))</f>
        <v>1</v>
      </c>
      <c r="O133" s="70">
        <f>_xlfn.XLOOKUP(TournamentData[[#This Row],[Team Number]],CoreValuesResults[Team Number],CoreValuesResults[Breakthrough Selection],0,0,)</f>
        <v>0</v>
      </c>
      <c r="P133" s="70">
        <f>_xlfn.XLOOKUP(TournamentData[[#This Row],[Team Number]],CoreValuesResults[Team Number],CoreValuesResults[Rising All-Star Selection],0,0,)</f>
        <v>0</v>
      </c>
      <c r="Q133" s="70">
        <f>_xlfn.XLOOKUP(TournamentData[[#This Row],[Team Number]],CoreValuesResults[Team Number],CoreValuesResults[Motivate Selection],0,0,)</f>
        <v>0</v>
      </c>
      <c r="R133" s="66"/>
      <c r="S133" s="66"/>
      <c r="T133" s="67"/>
      <c r="U133" s="63">
        <f>_xlfn.XLOOKUP(TournamentData[[#This Row],[Team Number]],CoreValuesResults[Team Number],CoreValuesResults[Core Values Score],0,0,)</f>
        <v>0</v>
      </c>
      <c r="V133" s="63">
        <f>_xlfn.XLOOKUP(TournamentData[[#This Row],[Team Number]],InnovationProjectResults[Team Number],InnovationProjectResults[Innovation Project Score],0,0,)</f>
        <v>0</v>
      </c>
      <c r="W133" s="63">
        <f>_xlfn.XLOOKUP(TournamentData[[#This Row],[Team Number]],RobotDesignResults[Team Number],RobotDesignResults[Robot Design Score],0,0,)</f>
        <v>0</v>
      </c>
      <c r="X133"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33" s="71">
        <f t="shared" si="4"/>
        <v>0</v>
      </c>
      <c r="Z133" s="66"/>
    </row>
    <row r="134" spans="1:26" ht="21" customHeight="1" x14ac:dyDescent="0.45">
      <c r="A134">
        <f>_xlfn.XLOOKUP(132,OfficialTeamList[Row],OfficialTeamList[Team Number],"ERROR",0)</f>
        <v>0</v>
      </c>
      <c r="B134" s="62" t="str">
        <f>_xlfn.XLOOKUP(TournamentData[[#This Row],[Team Number]],OfficialTeamList[Team Number],OfficialTeamList[Team Name],"",0,)</f>
        <v/>
      </c>
      <c r="C134" s="63">
        <f>IF(TournamentData[[#This Row],[Team Number]]="","",_xlfn.XLOOKUP(TournamentData[[#This Row],[Team Number]],RobotGameScores[Team Number],RobotGameScores[Robot Game 1 Score],0,0,))</f>
        <v>0</v>
      </c>
      <c r="D134" s="63">
        <f>IF(TournamentData[[#This Row],[Team Number]]="","",_xlfn.XLOOKUP(TournamentData[[#This Row],[Team Number]],RobotGameScores[Team Number],RobotGameScores[Robot Game 2 Score],0,0,))</f>
        <v>0</v>
      </c>
      <c r="E134" s="63">
        <f>IF(TournamentData[[#This Row],[Team Number]]="","",_xlfn.XLOOKUP(TournamentData[[#This Row],[Team Number]],RobotGameScores[Team Number],RobotGameScores[Robot Game 3 Score],0,0,))</f>
        <v>0</v>
      </c>
      <c r="F134" s="63">
        <f>IF(TournamentData[[#This Row],[Team Number]]="","",_xlfn.XLOOKUP(TournamentData[[#This Row],[Team Number]],RobotGameScores[Team Number],RobotGameScores[Robot Game 4 Score],0,0,))</f>
        <v>0</v>
      </c>
      <c r="G134" s="63">
        <f>IF(TournamentData[[#This Row],[Team Number]]="","",_xlfn.XLOOKUP(TournamentData[[#This Row],[Team Number]],RobotGameScores[Team Number],RobotGameScores[Robot Game 5 Score],0,0,))</f>
        <v>0</v>
      </c>
      <c r="H134"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34" s="63">
        <f>IF(TournamentData[[#This Row],[Team Number]]="","",_xlfn.RANK.EQ(TournamentData[[#This Row],[Max Robot Game Score]],TournamentData[Max Robot Game Score]))</f>
        <v>1</v>
      </c>
      <c r="J134" s="63">
        <f>IF(TournamentData[[#This Row],[Team Number]]="","",_xlfn.XLOOKUP(TournamentData[[#This Row],[Team Number]],CoreValuesResults[Team Number],CoreValuesResults[Core Values Rank],NumberOfTeams+1,0,))</f>
        <v>1</v>
      </c>
      <c r="K134" s="63">
        <f>IF(TournamentData[[#This Row],[Team Number]]="","",_xlfn.XLOOKUP(TournamentData[[#This Row],[Team Number]],InnovationProjectResults[Team Number],InnovationProjectResults[Innovation Project Rank],NumberOfTeams+1,0,))</f>
        <v>1</v>
      </c>
      <c r="L134" s="63">
        <f>IF(TournamentData[[#This Row],[Team Number]]="","",_xlfn.XLOOKUP(TournamentData[[#This Row],[Team Number]],RobotDesignResults[Team Number],RobotDesignResults[Robot Design Rank],NumberOfTeams+1,0,))</f>
        <v>1</v>
      </c>
      <c r="M134"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34" s="64">
        <f>IF(TournamentData[[#This Row],[Team Number]]="","",IF(M134,RANK(M134,M$3:M$202,1)-COUNTIF(M$3:M$202,0),NumberOfTeams+1))</f>
        <v>1</v>
      </c>
      <c r="O134" s="70">
        <f>_xlfn.XLOOKUP(TournamentData[[#This Row],[Team Number]],CoreValuesResults[Team Number],CoreValuesResults[Breakthrough Selection],0,0,)</f>
        <v>0</v>
      </c>
      <c r="P134" s="70">
        <f>_xlfn.XLOOKUP(TournamentData[[#This Row],[Team Number]],CoreValuesResults[Team Number],CoreValuesResults[Rising All-Star Selection],0,0,)</f>
        <v>0</v>
      </c>
      <c r="Q134" s="70">
        <f>_xlfn.XLOOKUP(TournamentData[[#This Row],[Team Number]],CoreValuesResults[Team Number],CoreValuesResults[Motivate Selection],0,0,)</f>
        <v>0</v>
      </c>
      <c r="R134" s="66"/>
      <c r="S134" s="66"/>
      <c r="T134" s="67"/>
      <c r="U134" s="63">
        <f>_xlfn.XLOOKUP(TournamentData[[#This Row],[Team Number]],CoreValuesResults[Team Number],CoreValuesResults[Core Values Score],0,0,)</f>
        <v>0</v>
      </c>
      <c r="V134" s="63">
        <f>_xlfn.XLOOKUP(TournamentData[[#This Row],[Team Number]],InnovationProjectResults[Team Number],InnovationProjectResults[Innovation Project Score],0,0,)</f>
        <v>0</v>
      </c>
      <c r="W134" s="63">
        <f>_xlfn.XLOOKUP(TournamentData[[#This Row],[Team Number]],RobotDesignResults[Team Number],RobotDesignResults[Robot Design Score],0,0,)</f>
        <v>0</v>
      </c>
      <c r="X134"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34" s="71">
        <f t="shared" si="4"/>
        <v>0</v>
      </c>
      <c r="Z134" s="66"/>
    </row>
    <row r="135" spans="1:26" ht="21" customHeight="1" x14ac:dyDescent="0.45">
      <c r="A135">
        <f>_xlfn.XLOOKUP(133,OfficialTeamList[Row],OfficialTeamList[Team Number],"ERROR",0)</f>
        <v>0</v>
      </c>
      <c r="B135" s="62" t="str">
        <f>_xlfn.XLOOKUP(TournamentData[[#This Row],[Team Number]],OfficialTeamList[Team Number],OfficialTeamList[Team Name],"",0,)</f>
        <v/>
      </c>
      <c r="C135" s="63">
        <f>IF(TournamentData[[#This Row],[Team Number]]="","",_xlfn.XLOOKUP(TournamentData[[#This Row],[Team Number]],RobotGameScores[Team Number],RobotGameScores[Robot Game 1 Score],0,0,))</f>
        <v>0</v>
      </c>
      <c r="D135" s="63">
        <f>IF(TournamentData[[#This Row],[Team Number]]="","",_xlfn.XLOOKUP(TournamentData[[#This Row],[Team Number]],RobotGameScores[Team Number],RobotGameScores[Robot Game 2 Score],0,0,))</f>
        <v>0</v>
      </c>
      <c r="E135" s="63">
        <f>IF(TournamentData[[#This Row],[Team Number]]="","",_xlfn.XLOOKUP(TournamentData[[#This Row],[Team Number]],RobotGameScores[Team Number],RobotGameScores[Robot Game 3 Score],0,0,))</f>
        <v>0</v>
      </c>
      <c r="F135" s="63">
        <f>IF(TournamentData[[#This Row],[Team Number]]="","",_xlfn.XLOOKUP(TournamentData[[#This Row],[Team Number]],RobotGameScores[Team Number],RobotGameScores[Robot Game 4 Score],0,0,))</f>
        <v>0</v>
      </c>
      <c r="G135" s="63">
        <f>IF(TournamentData[[#This Row],[Team Number]]="","",_xlfn.XLOOKUP(TournamentData[[#This Row],[Team Number]],RobotGameScores[Team Number],RobotGameScores[Robot Game 5 Score],0,0,))</f>
        <v>0</v>
      </c>
      <c r="H135"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35" s="63">
        <f>IF(TournamentData[[#This Row],[Team Number]]="","",_xlfn.RANK.EQ(TournamentData[[#This Row],[Max Robot Game Score]],TournamentData[Max Robot Game Score]))</f>
        <v>1</v>
      </c>
      <c r="J135" s="63">
        <f>IF(TournamentData[[#This Row],[Team Number]]="","",_xlfn.XLOOKUP(TournamentData[[#This Row],[Team Number]],CoreValuesResults[Team Number],CoreValuesResults[Core Values Rank],NumberOfTeams+1,0,))</f>
        <v>1</v>
      </c>
      <c r="K135" s="63">
        <f>IF(TournamentData[[#This Row],[Team Number]]="","",_xlfn.XLOOKUP(TournamentData[[#This Row],[Team Number]],InnovationProjectResults[Team Number],InnovationProjectResults[Innovation Project Rank],NumberOfTeams+1,0,))</f>
        <v>1</v>
      </c>
      <c r="L135" s="63">
        <f>IF(TournamentData[[#This Row],[Team Number]]="","",_xlfn.XLOOKUP(TournamentData[[#This Row],[Team Number]],RobotDesignResults[Team Number],RobotDesignResults[Robot Design Rank],NumberOfTeams+1,0,))</f>
        <v>1</v>
      </c>
      <c r="M135"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35" s="64">
        <f>IF(TournamentData[[#This Row],[Team Number]]="","",IF(M135,RANK(M135,M$3:M$202,1)-COUNTIF(M$3:M$202,0),NumberOfTeams+1))</f>
        <v>1</v>
      </c>
      <c r="O135" s="70">
        <f>_xlfn.XLOOKUP(TournamentData[[#This Row],[Team Number]],CoreValuesResults[Team Number],CoreValuesResults[Breakthrough Selection],0,0,)</f>
        <v>0</v>
      </c>
      <c r="P135" s="70">
        <f>_xlfn.XLOOKUP(TournamentData[[#This Row],[Team Number]],CoreValuesResults[Team Number],CoreValuesResults[Rising All-Star Selection],0,0,)</f>
        <v>0</v>
      </c>
      <c r="Q135" s="70">
        <f>_xlfn.XLOOKUP(TournamentData[[#This Row],[Team Number]],CoreValuesResults[Team Number],CoreValuesResults[Motivate Selection],0,0,)</f>
        <v>0</v>
      </c>
      <c r="R135" s="66"/>
      <c r="S135" s="66"/>
      <c r="T135" s="67"/>
      <c r="U135" s="63">
        <f>_xlfn.XLOOKUP(TournamentData[[#This Row],[Team Number]],CoreValuesResults[Team Number],CoreValuesResults[Core Values Score],0,0,)</f>
        <v>0</v>
      </c>
      <c r="V135" s="63">
        <f>_xlfn.XLOOKUP(TournamentData[[#This Row],[Team Number]],InnovationProjectResults[Team Number],InnovationProjectResults[Innovation Project Score],0,0,)</f>
        <v>0</v>
      </c>
      <c r="W135" s="63">
        <f>_xlfn.XLOOKUP(TournamentData[[#This Row],[Team Number]],RobotDesignResults[Team Number],RobotDesignResults[Robot Design Score],0,0,)</f>
        <v>0</v>
      </c>
      <c r="X135"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35" s="71">
        <f t="shared" si="4"/>
        <v>0</v>
      </c>
      <c r="Z135" s="66"/>
    </row>
    <row r="136" spans="1:26" ht="21" customHeight="1" x14ac:dyDescent="0.45">
      <c r="A136">
        <f>_xlfn.XLOOKUP(134,OfficialTeamList[Row],OfficialTeamList[Team Number],"ERROR",0)</f>
        <v>0</v>
      </c>
      <c r="B136" s="62" t="str">
        <f>_xlfn.XLOOKUP(TournamentData[[#This Row],[Team Number]],OfficialTeamList[Team Number],OfficialTeamList[Team Name],"",0,)</f>
        <v/>
      </c>
      <c r="C136" s="63">
        <f>IF(TournamentData[[#This Row],[Team Number]]="","",_xlfn.XLOOKUP(TournamentData[[#This Row],[Team Number]],RobotGameScores[Team Number],RobotGameScores[Robot Game 1 Score],0,0,))</f>
        <v>0</v>
      </c>
      <c r="D136" s="63">
        <f>IF(TournamentData[[#This Row],[Team Number]]="","",_xlfn.XLOOKUP(TournamentData[[#This Row],[Team Number]],RobotGameScores[Team Number],RobotGameScores[Robot Game 2 Score],0,0,))</f>
        <v>0</v>
      </c>
      <c r="E136" s="63">
        <f>IF(TournamentData[[#This Row],[Team Number]]="","",_xlfn.XLOOKUP(TournamentData[[#This Row],[Team Number]],RobotGameScores[Team Number],RobotGameScores[Robot Game 3 Score],0,0,))</f>
        <v>0</v>
      </c>
      <c r="F136" s="63">
        <f>IF(TournamentData[[#This Row],[Team Number]]="","",_xlfn.XLOOKUP(TournamentData[[#This Row],[Team Number]],RobotGameScores[Team Number],RobotGameScores[Robot Game 4 Score],0,0,))</f>
        <v>0</v>
      </c>
      <c r="G136" s="63">
        <f>IF(TournamentData[[#This Row],[Team Number]]="","",_xlfn.XLOOKUP(TournamentData[[#This Row],[Team Number]],RobotGameScores[Team Number],RobotGameScores[Robot Game 5 Score],0,0,))</f>
        <v>0</v>
      </c>
      <c r="H136"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36" s="63">
        <f>IF(TournamentData[[#This Row],[Team Number]]="","",_xlfn.RANK.EQ(TournamentData[[#This Row],[Max Robot Game Score]],TournamentData[Max Robot Game Score]))</f>
        <v>1</v>
      </c>
      <c r="J136" s="63">
        <f>IF(TournamentData[[#This Row],[Team Number]]="","",_xlfn.XLOOKUP(TournamentData[[#This Row],[Team Number]],CoreValuesResults[Team Number],CoreValuesResults[Core Values Rank],NumberOfTeams+1,0,))</f>
        <v>1</v>
      </c>
      <c r="K136" s="63">
        <f>IF(TournamentData[[#This Row],[Team Number]]="","",_xlfn.XLOOKUP(TournamentData[[#This Row],[Team Number]],InnovationProjectResults[Team Number],InnovationProjectResults[Innovation Project Rank],NumberOfTeams+1,0,))</f>
        <v>1</v>
      </c>
      <c r="L136" s="63">
        <f>IF(TournamentData[[#This Row],[Team Number]]="","",_xlfn.XLOOKUP(TournamentData[[#This Row],[Team Number]],RobotDesignResults[Team Number],RobotDesignResults[Robot Design Rank],NumberOfTeams+1,0,))</f>
        <v>1</v>
      </c>
      <c r="M136"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36" s="64">
        <f>IF(TournamentData[[#This Row],[Team Number]]="","",IF(M136,RANK(M136,M$3:M$202,1)-COUNTIF(M$3:M$202,0),NumberOfTeams+1))</f>
        <v>1</v>
      </c>
      <c r="O136" s="70">
        <f>_xlfn.XLOOKUP(TournamentData[[#This Row],[Team Number]],CoreValuesResults[Team Number],CoreValuesResults[Breakthrough Selection],0,0,)</f>
        <v>0</v>
      </c>
      <c r="P136" s="70">
        <f>_xlfn.XLOOKUP(TournamentData[[#This Row],[Team Number]],CoreValuesResults[Team Number],CoreValuesResults[Rising All-Star Selection],0,0,)</f>
        <v>0</v>
      </c>
      <c r="Q136" s="70">
        <f>_xlfn.XLOOKUP(TournamentData[[#This Row],[Team Number]],CoreValuesResults[Team Number],CoreValuesResults[Motivate Selection],0,0,)</f>
        <v>0</v>
      </c>
      <c r="R136" s="66"/>
      <c r="S136" s="66"/>
      <c r="T136" s="67"/>
      <c r="U136" s="63">
        <f>_xlfn.XLOOKUP(TournamentData[[#This Row],[Team Number]],CoreValuesResults[Team Number],CoreValuesResults[Core Values Score],0,0,)</f>
        <v>0</v>
      </c>
      <c r="V136" s="63">
        <f>_xlfn.XLOOKUP(TournamentData[[#This Row],[Team Number]],InnovationProjectResults[Team Number],InnovationProjectResults[Innovation Project Score],0,0,)</f>
        <v>0</v>
      </c>
      <c r="W136" s="63">
        <f>_xlfn.XLOOKUP(TournamentData[[#This Row],[Team Number]],RobotDesignResults[Team Number],RobotDesignResults[Robot Design Score],0,0,)</f>
        <v>0</v>
      </c>
      <c r="X136"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36" s="71">
        <f t="shared" si="4"/>
        <v>0</v>
      </c>
      <c r="Z136" s="66"/>
    </row>
    <row r="137" spans="1:26" ht="21" customHeight="1" x14ac:dyDescent="0.45">
      <c r="A137">
        <f>_xlfn.XLOOKUP(135,OfficialTeamList[Row],OfficialTeamList[Team Number],"ERROR",0)</f>
        <v>0</v>
      </c>
      <c r="B137" s="62" t="str">
        <f>_xlfn.XLOOKUP(TournamentData[[#This Row],[Team Number]],OfficialTeamList[Team Number],OfficialTeamList[Team Name],"",0,)</f>
        <v/>
      </c>
      <c r="C137" s="63">
        <f>IF(TournamentData[[#This Row],[Team Number]]="","",_xlfn.XLOOKUP(TournamentData[[#This Row],[Team Number]],RobotGameScores[Team Number],RobotGameScores[Robot Game 1 Score],0,0,))</f>
        <v>0</v>
      </c>
      <c r="D137" s="63">
        <f>IF(TournamentData[[#This Row],[Team Number]]="","",_xlfn.XLOOKUP(TournamentData[[#This Row],[Team Number]],RobotGameScores[Team Number],RobotGameScores[Robot Game 2 Score],0,0,))</f>
        <v>0</v>
      </c>
      <c r="E137" s="63">
        <f>IF(TournamentData[[#This Row],[Team Number]]="","",_xlfn.XLOOKUP(TournamentData[[#This Row],[Team Number]],RobotGameScores[Team Number],RobotGameScores[Robot Game 3 Score],0,0,))</f>
        <v>0</v>
      </c>
      <c r="F137" s="63">
        <f>IF(TournamentData[[#This Row],[Team Number]]="","",_xlfn.XLOOKUP(TournamentData[[#This Row],[Team Number]],RobotGameScores[Team Number],RobotGameScores[Robot Game 4 Score],0,0,))</f>
        <v>0</v>
      </c>
      <c r="G137" s="63">
        <f>IF(TournamentData[[#This Row],[Team Number]]="","",_xlfn.XLOOKUP(TournamentData[[#This Row],[Team Number]],RobotGameScores[Team Number],RobotGameScores[Robot Game 5 Score],0,0,))</f>
        <v>0</v>
      </c>
      <c r="H137"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37" s="63">
        <f>IF(TournamentData[[#This Row],[Team Number]]="","",_xlfn.RANK.EQ(TournamentData[[#This Row],[Max Robot Game Score]],TournamentData[Max Robot Game Score]))</f>
        <v>1</v>
      </c>
      <c r="J137" s="63">
        <f>IF(TournamentData[[#This Row],[Team Number]]="","",_xlfn.XLOOKUP(TournamentData[[#This Row],[Team Number]],CoreValuesResults[Team Number],CoreValuesResults[Core Values Rank],NumberOfTeams+1,0,))</f>
        <v>1</v>
      </c>
      <c r="K137" s="63">
        <f>IF(TournamentData[[#This Row],[Team Number]]="","",_xlfn.XLOOKUP(TournamentData[[#This Row],[Team Number]],InnovationProjectResults[Team Number],InnovationProjectResults[Innovation Project Rank],NumberOfTeams+1,0,))</f>
        <v>1</v>
      </c>
      <c r="L137" s="63">
        <f>IF(TournamentData[[#This Row],[Team Number]]="","",_xlfn.XLOOKUP(TournamentData[[#This Row],[Team Number]],RobotDesignResults[Team Number],RobotDesignResults[Robot Design Rank],NumberOfTeams+1,0,))</f>
        <v>1</v>
      </c>
      <c r="M137"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37" s="64">
        <f>IF(TournamentData[[#This Row],[Team Number]]="","",IF(M137,RANK(M137,M$3:M$202,1)-COUNTIF(M$3:M$202,0),NumberOfTeams+1))</f>
        <v>1</v>
      </c>
      <c r="O137" s="70">
        <f>_xlfn.XLOOKUP(TournamentData[[#This Row],[Team Number]],CoreValuesResults[Team Number],CoreValuesResults[Breakthrough Selection],0,0,)</f>
        <v>0</v>
      </c>
      <c r="P137" s="70">
        <f>_xlfn.XLOOKUP(TournamentData[[#This Row],[Team Number]],CoreValuesResults[Team Number],CoreValuesResults[Rising All-Star Selection],0,0,)</f>
        <v>0</v>
      </c>
      <c r="Q137" s="70">
        <f>_xlfn.XLOOKUP(TournamentData[[#This Row],[Team Number]],CoreValuesResults[Team Number],CoreValuesResults[Motivate Selection],0,0,)</f>
        <v>0</v>
      </c>
      <c r="R137" s="66"/>
      <c r="S137" s="66"/>
      <c r="T137" s="67"/>
      <c r="U137" s="63">
        <f>_xlfn.XLOOKUP(TournamentData[[#This Row],[Team Number]],CoreValuesResults[Team Number],CoreValuesResults[Core Values Score],0,0,)</f>
        <v>0</v>
      </c>
      <c r="V137" s="63">
        <f>_xlfn.XLOOKUP(TournamentData[[#This Row],[Team Number]],InnovationProjectResults[Team Number],InnovationProjectResults[Innovation Project Score],0,0,)</f>
        <v>0</v>
      </c>
      <c r="W137" s="63">
        <f>_xlfn.XLOOKUP(TournamentData[[#This Row],[Team Number]],RobotDesignResults[Team Number],RobotDesignResults[Robot Design Score],0,0,)</f>
        <v>0</v>
      </c>
      <c r="X137"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37" s="71">
        <f t="shared" si="4"/>
        <v>0</v>
      </c>
      <c r="Z137" s="66"/>
    </row>
    <row r="138" spans="1:26" ht="21" customHeight="1" x14ac:dyDescent="0.45">
      <c r="A138">
        <f>_xlfn.XLOOKUP(136,OfficialTeamList[Row],OfficialTeamList[Team Number],"ERROR",0)</f>
        <v>0</v>
      </c>
      <c r="B138" s="62" t="str">
        <f>_xlfn.XLOOKUP(TournamentData[[#This Row],[Team Number]],OfficialTeamList[Team Number],OfficialTeamList[Team Name],"",0,)</f>
        <v/>
      </c>
      <c r="C138" s="63">
        <f>IF(TournamentData[[#This Row],[Team Number]]="","",_xlfn.XLOOKUP(TournamentData[[#This Row],[Team Number]],RobotGameScores[Team Number],RobotGameScores[Robot Game 1 Score],0,0,))</f>
        <v>0</v>
      </c>
      <c r="D138" s="63">
        <f>IF(TournamentData[[#This Row],[Team Number]]="","",_xlfn.XLOOKUP(TournamentData[[#This Row],[Team Number]],RobotGameScores[Team Number],RobotGameScores[Robot Game 2 Score],0,0,))</f>
        <v>0</v>
      </c>
      <c r="E138" s="63">
        <f>IF(TournamentData[[#This Row],[Team Number]]="","",_xlfn.XLOOKUP(TournamentData[[#This Row],[Team Number]],RobotGameScores[Team Number],RobotGameScores[Robot Game 3 Score],0,0,))</f>
        <v>0</v>
      </c>
      <c r="F138" s="63">
        <f>IF(TournamentData[[#This Row],[Team Number]]="","",_xlfn.XLOOKUP(TournamentData[[#This Row],[Team Number]],RobotGameScores[Team Number],RobotGameScores[Robot Game 4 Score],0,0,))</f>
        <v>0</v>
      </c>
      <c r="G138" s="63">
        <f>IF(TournamentData[[#This Row],[Team Number]]="","",_xlfn.XLOOKUP(TournamentData[[#This Row],[Team Number]],RobotGameScores[Team Number],RobotGameScores[Robot Game 5 Score],0,0,))</f>
        <v>0</v>
      </c>
      <c r="H138"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38" s="63">
        <f>IF(TournamentData[[#This Row],[Team Number]]="","",_xlfn.RANK.EQ(TournamentData[[#This Row],[Max Robot Game Score]],TournamentData[Max Robot Game Score]))</f>
        <v>1</v>
      </c>
      <c r="J138" s="63">
        <f>IF(TournamentData[[#This Row],[Team Number]]="","",_xlfn.XLOOKUP(TournamentData[[#This Row],[Team Number]],CoreValuesResults[Team Number],CoreValuesResults[Core Values Rank],NumberOfTeams+1,0,))</f>
        <v>1</v>
      </c>
      <c r="K138" s="63">
        <f>IF(TournamentData[[#This Row],[Team Number]]="","",_xlfn.XLOOKUP(TournamentData[[#This Row],[Team Number]],InnovationProjectResults[Team Number],InnovationProjectResults[Innovation Project Rank],NumberOfTeams+1,0,))</f>
        <v>1</v>
      </c>
      <c r="L138" s="63">
        <f>IF(TournamentData[[#This Row],[Team Number]]="","",_xlfn.XLOOKUP(TournamentData[[#This Row],[Team Number]],RobotDesignResults[Team Number],RobotDesignResults[Robot Design Rank],NumberOfTeams+1,0,))</f>
        <v>1</v>
      </c>
      <c r="M138"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38" s="64">
        <f>IF(TournamentData[[#This Row],[Team Number]]="","",IF(M138,RANK(M138,M$3:M$202,1)-COUNTIF(M$3:M$202,0),NumberOfTeams+1))</f>
        <v>1</v>
      </c>
      <c r="O138" s="70">
        <f>_xlfn.XLOOKUP(TournamentData[[#This Row],[Team Number]],CoreValuesResults[Team Number],CoreValuesResults[Breakthrough Selection],0,0,)</f>
        <v>0</v>
      </c>
      <c r="P138" s="70">
        <f>_xlfn.XLOOKUP(TournamentData[[#This Row],[Team Number]],CoreValuesResults[Team Number],CoreValuesResults[Rising All-Star Selection],0,0,)</f>
        <v>0</v>
      </c>
      <c r="Q138" s="70">
        <f>_xlfn.XLOOKUP(TournamentData[[#This Row],[Team Number]],CoreValuesResults[Team Number],CoreValuesResults[Motivate Selection],0,0,)</f>
        <v>0</v>
      </c>
      <c r="R138" s="66"/>
      <c r="S138" s="66"/>
      <c r="T138" s="67"/>
      <c r="U138" s="63">
        <f>_xlfn.XLOOKUP(TournamentData[[#This Row],[Team Number]],CoreValuesResults[Team Number],CoreValuesResults[Core Values Score],0,0,)</f>
        <v>0</v>
      </c>
      <c r="V138" s="63">
        <f>_xlfn.XLOOKUP(TournamentData[[#This Row],[Team Number]],InnovationProjectResults[Team Number],InnovationProjectResults[Innovation Project Score],0,0,)</f>
        <v>0</v>
      </c>
      <c r="W138" s="63">
        <f>_xlfn.XLOOKUP(TournamentData[[#This Row],[Team Number]],RobotDesignResults[Team Number],RobotDesignResults[Robot Design Score],0,0,)</f>
        <v>0</v>
      </c>
      <c r="X138"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38" s="71">
        <f t="shared" si="4"/>
        <v>0</v>
      </c>
      <c r="Z138" s="66"/>
    </row>
    <row r="139" spans="1:26" ht="21" customHeight="1" x14ac:dyDescent="0.45">
      <c r="A139">
        <f>_xlfn.XLOOKUP(137,OfficialTeamList[Row],OfficialTeamList[Team Number],"ERROR",0)</f>
        <v>0</v>
      </c>
      <c r="B139" s="62" t="str">
        <f>_xlfn.XLOOKUP(TournamentData[[#This Row],[Team Number]],OfficialTeamList[Team Number],OfficialTeamList[Team Name],"",0,)</f>
        <v/>
      </c>
      <c r="C139" s="63">
        <f>IF(TournamentData[[#This Row],[Team Number]]="","",_xlfn.XLOOKUP(TournamentData[[#This Row],[Team Number]],RobotGameScores[Team Number],RobotGameScores[Robot Game 1 Score],0,0,))</f>
        <v>0</v>
      </c>
      <c r="D139" s="63">
        <f>IF(TournamentData[[#This Row],[Team Number]]="","",_xlfn.XLOOKUP(TournamentData[[#This Row],[Team Number]],RobotGameScores[Team Number],RobotGameScores[Robot Game 2 Score],0,0,))</f>
        <v>0</v>
      </c>
      <c r="E139" s="63">
        <f>IF(TournamentData[[#This Row],[Team Number]]="","",_xlfn.XLOOKUP(TournamentData[[#This Row],[Team Number]],RobotGameScores[Team Number],RobotGameScores[Robot Game 3 Score],0,0,))</f>
        <v>0</v>
      </c>
      <c r="F139" s="63">
        <f>IF(TournamentData[[#This Row],[Team Number]]="","",_xlfn.XLOOKUP(TournamentData[[#This Row],[Team Number]],RobotGameScores[Team Number],RobotGameScores[Robot Game 4 Score],0,0,))</f>
        <v>0</v>
      </c>
      <c r="G139" s="63">
        <f>IF(TournamentData[[#This Row],[Team Number]]="","",_xlfn.XLOOKUP(TournamentData[[#This Row],[Team Number]],RobotGameScores[Team Number],RobotGameScores[Robot Game 5 Score],0,0,))</f>
        <v>0</v>
      </c>
      <c r="H139"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39" s="63">
        <f>IF(TournamentData[[#This Row],[Team Number]]="","",_xlfn.RANK.EQ(TournamentData[[#This Row],[Max Robot Game Score]],TournamentData[Max Robot Game Score]))</f>
        <v>1</v>
      </c>
      <c r="J139" s="63">
        <f>IF(TournamentData[[#This Row],[Team Number]]="","",_xlfn.XLOOKUP(TournamentData[[#This Row],[Team Number]],CoreValuesResults[Team Number],CoreValuesResults[Core Values Rank],NumberOfTeams+1,0,))</f>
        <v>1</v>
      </c>
      <c r="K139" s="63">
        <f>IF(TournamentData[[#This Row],[Team Number]]="","",_xlfn.XLOOKUP(TournamentData[[#This Row],[Team Number]],InnovationProjectResults[Team Number],InnovationProjectResults[Innovation Project Rank],NumberOfTeams+1,0,))</f>
        <v>1</v>
      </c>
      <c r="L139" s="63">
        <f>IF(TournamentData[[#This Row],[Team Number]]="","",_xlfn.XLOOKUP(TournamentData[[#This Row],[Team Number]],RobotDesignResults[Team Number],RobotDesignResults[Robot Design Rank],NumberOfTeams+1,0,))</f>
        <v>1</v>
      </c>
      <c r="M139"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39" s="64">
        <f>IF(TournamentData[[#This Row],[Team Number]]="","",IF(M139,RANK(M139,M$3:M$202,1)-COUNTIF(M$3:M$202,0),NumberOfTeams+1))</f>
        <v>1</v>
      </c>
      <c r="O139" s="70">
        <f>_xlfn.XLOOKUP(TournamentData[[#This Row],[Team Number]],CoreValuesResults[Team Number],CoreValuesResults[Breakthrough Selection],0,0,)</f>
        <v>0</v>
      </c>
      <c r="P139" s="70">
        <f>_xlfn.XLOOKUP(TournamentData[[#This Row],[Team Number]],CoreValuesResults[Team Number],CoreValuesResults[Rising All-Star Selection],0,0,)</f>
        <v>0</v>
      </c>
      <c r="Q139" s="70">
        <f>_xlfn.XLOOKUP(TournamentData[[#This Row],[Team Number]],CoreValuesResults[Team Number],CoreValuesResults[Motivate Selection],0,0,)</f>
        <v>0</v>
      </c>
      <c r="R139" s="66"/>
      <c r="S139" s="66"/>
      <c r="T139" s="67"/>
      <c r="U139" s="63">
        <f>_xlfn.XLOOKUP(TournamentData[[#This Row],[Team Number]],CoreValuesResults[Team Number],CoreValuesResults[Core Values Score],0,0,)</f>
        <v>0</v>
      </c>
      <c r="V139" s="63">
        <f>_xlfn.XLOOKUP(TournamentData[[#This Row],[Team Number]],InnovationProjectResults[Team Number],InnovationProjectResults[Innovation Project Score],0,0,)</f>
        <v>0</v>
      </c>
      <c r="W139" s="63">
        <f>_xlfn.XLOOKUP(TournamentData[[#This Row],[Team Number]],RobotDesignResults[Team Number],RobotDesignResults[Robot Design Score],0,0,)</f>
        <v>0</v>
      </c>
      <c r="X139"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39" s="71">
        <f t="shared" si="4"/>
        <v>0</v>
      </c>
      <c r="Z139" s="66"/>
    </row>
    <row r="140" spans="1:26" ht="21" customHeight="1" x14ac:dyDescent="0.45">
      <c r="A140">
        <f>_xlfn.XLOOKUP(138,OfficialTeamList[Row],OfficialTeamList[Team Number],"ERROR",0)</f>
        <v>0</v>
      </c>
      <c r="B140" s="62" t="str">
        <f>_xlfn.XLOOKUP(TournamentData[[#This Row],[Team Number]],OfficialTeamList[Team Number],OfficialTeamList[Team Name],"",0,)</f>
        <v/>
      </c>
      <c r="C140" s="63">
        <f>IF(TournamentData[[#This Row],[Team Number]]="","",_xlfn.XLOOKUP(TournamentData[[#This Row],[Team Number]],RobotGameScores[Team Number],RobotGameScores[Robot Game 1 Score],0,0,))</f>
        <v>0</v>
      </c>
      <c r="D140" s="63">
        <f>IF(TournamentData[[#This Row],[Team Number]]="","",_xlfn.XLOOKUP(TournamentData[[#This Row],[Team Number]],RobotGameScores[Team Number],RobotGameScores[Robot Game 2 Score],0,0,))</f>
        <v>0</v>
      </c>
      <c r="E140" s="63">
        <f>IF(TournamentData[[#This Row],[Team Number]]="","",_xlfn.XLOOKUP(TournamentData[[#This Row],[Team Number]],RobotGameScores[Team Number],RobotGameScores[Robot Game 3 Score],0,0,))</f>
        <v>0</v>
      </c>
      <c r="F140" s="63">
        <f>IF(TournamentData[[#This Row],[Team Number]]="","",_xlfn.XLOOKUP(TournamentData[[#This Row],[Team Number]],RobotGameScores[Team Number],RobotGameScores[Robot Game 4 Score],0,0,))</f>
        <v>0</v>
      </c>
      <c r="G140" s="63">
        <f>IF(TournamentData[[#This Row],[Team Number]]="","",_xlfn.XLOOKUP(TournamentData[[#This Row],[Team Number]],RobotGameScores[Team Number],RobotGameScores[Robot Game 5 Score],0,0,))</f>
        <v>0</v>
      </c>
      <c r="H140"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40" s="63">
        <f>IF(TournamentData[[#This Row],[Team Number]]="","",_xlfn.RANK.EQ(TournamentData[[#This Row],[Max Robot Game Score]],TournamentData[Max Robot Game Score]))</f>
        <v>1</v>
      </c>
      <c r="J140" s="63">
        <f>IF(TournamentData[[#This Row],[Team Number]]="","",_xlfn.XLOOKUP(TournamentData[[#This Row],[Team Number]],CoreValuesResults[Team Number],CoreValuesResults[Core Values Rank],NumberOfTeams+1,0,))</f>
        <v>1</v>
      </c>
      <c r="K140" s="63">
        <f>IF(TournamentData[[#This Row],[Team Number]]="","",_xlfn.XLOOKUP(TournamentData[[#This Row],[Team Number]],InnovationProjectResults[Team Number],InnovationProjectResults[Innovation Project Rank],NumberOfTeams+1,0,))</f>
        <v>1</v>
      </c>
      <c r="L140" s="63">
        <f>IF(TournamentData[[#This Row],[Team Number]]="","",_xlfn.XLOOKUP(TournamentData[[#This Row],[Team Number]],RobotDesignResults[Team Number],RobotDesignResults[Robot Design Rank],NumberOfTeams+1,0,))</f>
        <v>1</v>
      </c>
      <c r="M140"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40" s="64">
        <f>IF(TournamentData[[#This Row],[Team Number]]="","",IF(M140,RANK(M140,M$3:M$202,1)-COUNTIF(M$3:M$202,0),NumberOfTeams+1))</f>
        <v>1</v>
      </c>
      <c r="O140" s="70">
        <f>_xlfn.XLOOKUP(TournamentData[[#This Row],[Team Number]],CoreValuesResults[Team Number],CoreValuesResults[Breakthrough Selection],0,0,)</f>
        <v>0</v>
      </c>
      <c r="P140" s="70">
        <f>_xlfn.XLOOKUP(TournamentData[[#This Row],[Team Number]],CoreValuesResults[Team Number],CoreValuesResults[Rising All-Star Selection],0,0,)</f>
        <v>0</v>
      </c>
      <c r="Q140" s="70">
        <f>_xlfn.XLOOKUP(TournamentData[[#This Row],[Team Number]],CoreValuesResults[Team Number],CoreValuesResults[Motivate Selection],0,0,)</f>
        <v>0</v>
      </c>
      <c r="R140" s="66"/>
      <c r="S140" s="66"/>
      <c r="T140" s="67"/>
      <c r="U140" s="63">
        <f>_xlfn.XLOOKUP(TournamentData[[#This Row],[Team Number]],CoreValuesResults[Team Number],CoreValuesResults[Core Values Score],0,0,)</f>
        <v>0</v>
      </c>
      <c r="V140" s="63">
        <f>_xlfn.XLOOKUP(TournamentData[[#This Row],[Team Number]],InnovationProjectResults[Team Number],InnovationProjectResults[Innovation Project Score],0,0,)</f>
        <v>0</v>
      </c>
      <c r="W140" s="63">
        <f>_xlfn.XLOOKUP(TournamentData[[#This Row],[Team Number]],RobotDesignResults[Team Number],RobotDesignResults[Robot Design Score],0,0,)</f>
        <v>0</v>
      </c>
      <c r="X140"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40" s="71">
        <f t="shared" si="4"/>
        <v>0</v>
      </c>
      <c r="Z140" s="66"/>
    </row>
    <row r="141" spans="1:26" ht="21" customHeight="1" x14ac:dyDescent="0.45">
      <c r="A141">
        <f>_xlfn.XLOOKUP(139,OfficialTeamList[Row],OfficialTeamList[Team Number],"ERROR",0)</f>
        <v>0</v>
      </c>
      <c r="B141" s="62" t="str">
        <f>_xlfn.XLOOKUP(TournamentData[[#This Row],[Team Number]],OfficialTeamList[Team Number],OfficialTeamList[Team Name],"",0,)</f>
        <v/>
      </c>
      <c r="C141" s="63">
        <f>IF(TournamentData[[#This Row],[Team Number]]="","",_xlfn.XLOOKUP(TournamentData[[#This Row],[Team Number]],RobotGameScores[Team Number],RobotGameScores[Robot Game 1 Score],0,0,))</f>
        <v>0</v>
      </c>
      <c r="D141" s="63">
        <f>IF(TournamentData[[#This Row],[Team Number]]="","",_xlfn.XLOOKUP(TournamentData[[#This Row],[Team Number]],RobotGameScores[Team Number],RobotGameScores[Robot Game 2 Score],0,0,))</f>
        <v>0</v>
      </c>
      <c r="E141" s="63">
        <f>IF(TournamentData[[#This Row],[Team Number]]="","",_xlfn.XLOOKUP(TournamentData[[#This Row],[Team Number]],RobotGameScores[Team Number],RobotGameScores[Robot Game 3 Score],0,0,))</f>
        <v>0</v>
      </c>
      <c r="F141" s="63">
        <f>IF(TournamentData[[#This Row],[Team Number]]="","",_xlfn.XLOOKUP(TournamentData[[#This Row],[Team Number]],RobotGameScores[Team Number],RobotGameScores[Robot Game 4 Score],0,0,))</f>
        <v>0</v>
      </c>
      <c r="G141" s="63">
        <f>IF(TournamentData[[#This Row],[Team Number]]="","",_xlfn.XLOOKUP(TournamentData[[#This Row],[Team Number]],RobotGameScores[Team Number],RobotGameScores[Robot Game 5 Score],0,0,))</f>
        <v>0</v>
      </c>
      <c r="H141"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41" s="63">
        <f>IF(TournamentData[[#This Row],[Team Number]]="","",_xlfn.RANK.EQ(TournamentData[[#This Row],[Max Robot Game Score]],TournamentData[Max Robot Game Score]))</f>
        <v>1</v>
      </c>
      <c r="J141" s="63">
        <f>IF(TournamentData[[#This Row],[Team Number]]="","",_xlfn.XLOOKUP(TournamentData[[#This Row],[Team Number]],CoreValuesResults[Team Number],CoreValuesResults[Core Values Rank],NumberOfTeams+1,0,))</f>
        <v>1</v>
      </c>
      <c r="K141" s="63">
        <f>IF(TournamentData[[#This Row],[Team Number]]="","",_xlfn.XLOOKUP(TournamentData[[#This Row],[Team Number]],InnovationProjectResults[Team Number],InnovationProjectResults[Innovation Project Rank],NumberOfTeams+1,0,))</f>
        <v>1</v>
      </c>
      <c r="L141" s="63">
        <f>IF(TournamentData[[#This Row],[Team Number]]="","",_xlfn.XLOOKUP(TournamentData[[#This Row],[Team Number]],RobotDesignResults[Team Number],RobotDesignResults[Robot Design Rank],NumberOfTeams+1,0,))</f>
        <v>1</v>
      </c>
      <c r="M141"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41" s="64">
        <f>IF(TournamentData[[#This Row],[Team Number]]="","",IF(M141,RANK(M141,M$3:M$202,1)-COUNTIF(M$3:M$202,0),NumberOfTeams+1))</f>
        <v>1</v>
      </c>
      <c r="O141" s="70">
        <f>_xlfn.XLOOKUP(TournamentData[[#This Row],[Team Number]],CoreValuesResults[Team Number],CoreValuesResults[Breakthrough Selection],0,0,)</f>
        <v>0</v>
      </c>
      <c r="P141" s="70">
        <f>_xlfn.XLOOKUP(TournamentData[[#This Row],[Team Number]],CoreValuesResults[Team Number],CoreValuesResults[Rising All-Star Selection],0,0,)</f>
        <v>0</v>
      </c>
      <c r="Q141" s="70">
        <f>_xlfn.XLOOKUP(TournamentData[[#This Row],[Team Number]],CoreValuesResults[Team Number],CoreValuesResults[Motivate Selection],0,0,)</f>
        <v>0</v>
      </c>
      <c r="R141" s="66"/>
      <c r="S141" s="66"/>
      <c r="T141" s="67"/>
      <c r="U141" s="63">
        <f>_xlfn.XLOOKUP(TournamentData[[#This Row],[Team Number]],CoreValuesResults[Team Number],CoreValuesResults[Core Values Score],0,0,)</f>
        <v>0</v>
      </c>
      <c r="V141" s="63">
        <f>_xlfn.XLOOKUP(TournamentData[[#This Row],[Team Number]],InnovationProjectResults[Team Number],InnovationProjectResults[Innovation Project Score],0,0,)</f>
        <v>0</v>
      </c>
      <c r="W141" s="63">
        <f>_xlfn.XLOOKUP(TournamentData[[#This Row],[Team Number]],RobotDesignResults[Team Number],RobotDesignResults[Robot Design Score],0,0,)</f>
        <v>0</v>
      </c>
      <c r="X141"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41" s="71">
        <f t="shared" si="4"/>
        <v>0</v>
      </c>
      <c r="Z141" s="66"/>
    </row>
    <row r="142" spans="1:26" ht="21" customHeight="1" x14ac:dyDescent="0.45">
      <c r="A142">
        <f>_xlfn.XLOOKUP(140,OfficialTeamList[Row],OfficialTeamList[Team Number],"ERROR",0)</f>
        <v>0</v>
      </c>
      <c r="B142" s="62" t="str">
        <f>_xlfn.XLOOKUP(TournamentData[[#This Row],[Team Number]],OfficialTeamList[Team Number],OfficialTeamList[Team Name],"",0,)</f>
        <v/>
      </c>
      <c r="C142" s="63">
        <f>IF(TournamentData[[#This Row],[Team Number]]="","",_xlfn.XLOOKUP(TournamentData[[#This Row],[Team Number]],RobotGameScores[Team Number],RobotGameScores[Robot Game 1 Score],0,0,))</f>
        <v>0</v>
      </c>
      <c r="D142" s="63">
        <f>IF(TournamentData[[#This Row],[Team Number]]="","",_xlfn.XLOOKUP(TournamentData[[#This Row],[Team Number]],RobotGameScores[Team Number],RobotGameScores[Robot Game 2 Score],0,0,))</f>
        <v>0</v>
      </c>
      <c r="E142" s="63">
        <f>IF(TournamentData[[#This Row],[Team Number]]="","",_xlfn.XLOOKUP(TournamentData[[#This Row],[Team Number]],RobotGameScores[Team Number],RobotGameScores[Robot Game 3 Score],0,0,))</f>
        <v>0</v>
      </c>
      <c r="F142" s="63">
        <f>IF(TournamentData[[#This Row],[Team Number]]="","",_xlfn.XLOOKUP(TournamentData[[#This Row],[Team Number]],RobotGameScores[Team Number],RobotGameScores[Robot Game 4 Score],0,0,))</f>
        <v>0</v>
      </c>
      <c r="G142" s="63">
        <f>IF(TournamentData[[#This Row],[Team Number]]="","",_xlfn.XLOOKUP(TournamentData[[#This Row],[Team Number]],RobotGameScores[Team Number],RobotGameScores[Robot Game 5 Score],0,0,))</f>
        <v>0</v>
      </c>
      <c r="H142"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42" s="63">
        <f>IF(TournamentData[[#This Row],[Team Number]]="","",_xlfn.RANK.EQ(TournamentData[[#This Row],[Max Robot Game Score]],TournamentData[Max Robot Game Score]))</f>
        <v>1</v>
      </c>
      <c r="J142" s="63">
        <f>IF(TournamentData[[#This Row],[Team Number]]="","",_xlfn.XLOOKUP(TournamentData[[#This Row],[Team Number]],CoreValuesResults[Team Number],CoreValuesResults[Core Values Rank],NumberOfTeams+1,0,))</f>
        <v>1</v>
      </c>
      <c r="K142" s="63">
        <f>IF(TournamentData[[#This Row],[Team Number]]="","",_xlfn.XLOOKUP(TournamentData[[#This Row],[Team Number]],InnovationProjectResults[Team Number],InnovationProjectResults[Innovation Project Rank],NumberOfTeams+1,0,))</f>
        <v>1</v>
      </c>
      <c r="L142" s="63">
        <f>IF(TournamentData[[#This Row],[Team Number]]="","",_xlfn.XLOOKUP(TournamentData[[#This Row],[Team Number]],RobotDesignResults[Team Number],RobotDesignResults[Robot Design Rank],NumberOfTeams+1,0,))</f>
        <v>1</v>
      </c>
      <c r="M142"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42" s="64">
        <f>IF(TournamentData[[#This Row],[Team Number]]="","",IF(M142,RANK(M142,M$3:M$202,1)-COUNTIF(M$3:M$202,0),NumberOfTeams+1))</f>
        <v>1</v>
      </c>
      <c r="O142" s="70">
        <f>_xlfn.XLOOKUP(TournamentData[[#This Row],[Team Number]],CoreValuesResults[Team Number],CoreValuesResults[Breakthrough Selection],0,0,)</f>
        <v>0</v>
      </c>
      <c r="P142" s="70">
        <f>_xlfn.XLOOKUP(TournamentData[[#This Row],[Team Number]],CoreValuesResults[Team Number],CoreValuesResults[Rising All-Star Selection],0,0,)</f>
        <v>0</v>
      </c>
      <c r="Q142" s="70">
        <f>_xlfn.XLOOKUP(TournamentData[[#This Row],[Team Number]],CoreValuesResults[Team Number],CoreValuesResults[Motivate Selection],0,0,)</f>
        <v>0</v>
      </c>
      <c r="R142" s="66"/>
      <c r="S142" s="66"/>
      <c r="T142" s="67"/>
      <c r="U142" s="63">
        <f>_xlfn.XLOOKUP(TournamentData[[#This Row],[Team Number]],CoreValuesResults[Team Number],CoreValuesResults[Core Values Score],0,0,)</f>
        <v>0</v>
      </c>
      <c r="V142" s="63">
        <f>_xlfn.XLOOKUP(TournamentData[[#This Row],[Team Number]],InnovationProjectResults[Team Number],InnovationProjectResults[Innovation Project Score],0,0,)</f>
        <v>0</v>
      </c>
      <c r="W142" s="63">
        <f>_xlfn.XLOOKUP(TournamentData[[#This Row],[Team Number]],RobotDesignResults[Team Number],RobotDesignResults[Robot Design Score],0,0,)</f>
        <v>0</v>
      </c>
      <c r="X142"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42" s="71">
        <f t="shared" si="4"/>
        <v>0</v>
      </c>
      <c r="Z142" s="66"/>
    </row>
    <row r="143" spans="1:26" ht="21" customHeight="1" x14ac:dyDescent="0.45">
      <c r="A143">
        <f>_xlfn.XLOOKUP(141,OfficialTeamList[Row],OfficialTeamList[Team Number],"ERROR",0)</f>
        <v>0</v>
      </c>
      <c r="B143" s="62" t="str">
        <f>_xlfn.XLOOKUP(TournamentData[[#This Row],[Team Number]],OfficialTeamList[Team Number],OfficialTeamList[Team Name],"",0,)</f>
        <v/>
      </c>
      <c r="C143" s="63">
        <f>IF(TournamentData[[#This Row],[Team Number]]="","",_xlfn.XLOOKUP(TournamentData[[#This Row],[Team Number]],RobotGameScores[Team Number],RobotGameScores[Robot Game 1 Score],0,0,))</f>
        <v>0</v>
      </c>
      <c r="D143" s="63">
        <f>IF(TournamentData[[#This Row],[Team Number]]="","",_xlfn.XLOOKUP(TournamentData[[#This Row],[Team Number]],RobotGameScores[Team Number],RobotGameScores[Robot Game 2 Score],0,0,))</f>
        <v>0</v>
      </c>
      <c r="E143" s="63">
        <f>IF(TournamentData[[#This Row],[Team Number]]="","",_xlfn.XLOOKUP(TournamentData[[#This Row],[Team Number]],RobotGameScores[Team Number],RobotGameScores[Robot Game 3 Score],0,0,))</f>
        <v>0</v>
      </c>
      <c r="F143" s="63">
        <f>IF(TournamentData[[#This Row],[Team Number]]="","",_xlfn.XLOOKUP(TournamentData[[#This Row],[Team Number]],RobotGameScores[Team Number],RobotGameScores[Robot Game 4 Score],0,0,))</f>
        <v>0</v>
      </c>
      <c r="G143" s="63">
        <f>IF(TournamentData[[#This Row],[Team Number]]="","",_xlfn.XLOOKUP(TournamentData[[#This Row],[Team Number]],RobotGameScores[Team Number],RobotGameScores[Robot Game 5 Score],0,0,))</f>
        <v>0</v>
      </c>
      <c r="H143"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43" s="63">
        <f>IF(TournamentData[[#This Row],[Team Number]]="","",_xlfn.RANK.EQ(TournamentData[[#This Row],[Max Robot Game Score]],TournamentData[Max Robot Game Score]))</f>
        <v>1</v>
      </c>
      <c r="J143" s="63">
        <f>IF(TournamentData[[#This Row],[Team Number]]="","",_xlfn.XLOOKUP(TournamentData[[#This Row],[Team Number]],CoreValuesResults[Team Number],CoreValuesResults[Core Values Rank],NumberOfTeams+1,0,))</f>
        <v>1</v>
      </c>
      <c r="K143" s="63">
        <f>IF(TournamentData[[#This Row],[Team Number]]="","",_xlfn.XLOOKUP(TournamentData[[#This Row],[Team Number]],InnovationProjectResults[Team Number],InnovationProjectResults[Innovation Project Rank],NumberOfTeams+1,0,))</f>
        <v>1</v>
      </c>
      <c r="L143" s="63">
        <f>IF(TournamentData[[#This Row],[Team Number]]="","",_xlfn.XLOOKUP(TournamentData[[#This Row],[Team Number]],RobotDesignResults[Team Number],RobotDesignResults[Robot Design Rank],NumberOfTeams+1,0,))</f>
        <v>1</v>
      </c>
      <c r="M143"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43" s="64">
        <f>IF(TournamentData[[#This Row],[Team Number]]="","",IF(M143,RANK(M143,M$3:M$202,1)-COUNTIF(M$3:M$202,0),NumberOfTeams+1))</f>
        <v>1</v>
      </c>
      <c r="O143" s="70">
        <f>_xlfn.XLOOKUP(TournamentData[[#This Row],[Team Number]],CoreValuesResults[Team Number],CoreValuesResults[Breakthrough Selection],0,0,)</f>
        <v>0</v>
      </c>
      <c r="P143" s="70">
        <f>_xlfn.XLOOKUP(TournamentData[[#This Row],[Team Number]],CoreValuesResults[Team Number],CoreValuesResults[Rising All-Star Selection],0,0,)</f>
        <v>0</v>
      </c>
      <c r="Q143" s="70">
        <f>_xlfn.XLOOKUP(TournamentData[[#This Row],[Team Number]],CoreValuesResults[Team Number],CoreValuesResults[Motivate Selection],0,0,)</f>
        <v>0</v>
      </c>
      <c r="R143" s="66"/>
      <c r="S143" s="66"/>
      <c r="T143" s="67"/>
      <c r="U143" s="63">
        <f>_xlfn.XLOOKUP(TournamentData[[#This Row],[Team Number]],CoreValuesResults[Team Number],CoreValuesResults[Core Values Score],0,0,)</f>
        <v>0</v>
      </c>
      <c r="V143" s="63">
        <f>_xlfn.XLOOKUP(TournamentData[[#This Row],[Team Number]],InnovationProjectResults[Team Number],InnovationProjectResults[Innovation Project Score],0,0,)</f>
        <v>0</v>
      </c>
      <c r="W143" s="63">
        <f>_xlfn.XLOOKUP(TournamentData[[#This Row],[Team Number]],RobotDesignResults[Team Number],RobotDesignResults[Robot Design Score],0,0,)</f>
        <v>0</v>
      </c>
      <c r="X143"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43" s="71">
        <f t="shared" si="4"/>
        <v>0</v>
      </c>
      <c r="Z143" s="66"/>
    </row>
    <row r="144" spans="1:26" ht="21" customHeight="1" x14ac:dyDescent="0.45">
      <c r="A144">
        <f>_xlfn.XLOOKUP(142,OfficialTeamList[Row],OfficialTeamList[Team Number],"ERROR",0)</f>
        <v>0</v>
      </c>
      <c r="B144" s="62" t="str">
        <f>_xlfn.XLOOKUP(TournamentData[[#This Row],[Team Number]],OfficialTeamList[Team Number],OfficialTeamList[Team Name],"",0,)</f>
        <v/>
      </c>
      <c r="C144" s="63">
        <f>IF(TournamentData[[#This Row],[Team Number]]="","",_xlfn.XLOOKUP(TournamentData[[#This Row],[Team Number]],RobotGameScores[Team Number],RobotGameScores[Robot Game 1 Score],0,0,))</f>
        <v>0</v>
      </c>
      <c r="D144" s="63">
        <f>IF(TournamentData[[#This Row],[Team Number]]="","",_xlfn.XLOOKUP(TournamentData[[#This Row],[Team Number]],RobotGameScores[Team Number],RobotGameScores[Robot Game 2 Score],0,0,))</f>
        <v>0</v>
      </c>
      <c r="E144" s="63">
        <f>IF(TournamentData[[#This Row],[Team Number]]="","",_xlfn.XLOOKUP(TournamentData[[#This Row],[Team Number]],RobotGameScores[Team Number],RobotGameScores[Robot Game 3 Score],0,0,))</f>
        <v>0</v>
      </c>
      <c r="F144" s="63">
        <f>IF(TournamentData[[#This Row],[Team Number]]="","",_xlfn.XLOOKUP(TournamentData[[#This Row],[Team Number]],RobotGameScores[Team Number],RobotGameScores[Robot Game 4 Score],0,0,))</f>
        <v>0</v>
      </c>
      <c r="G144" s="63">
        <f>IF(TournamentData[[#This Row],[Team Number]]="","",_xlfn.XLOOKUP(TournamentData[[#This Row],[Team Number]],RobotGameScores[Team Number],RobotGameScores[Robot Game 5 Score],0,0,))</f>
        <v>0</v>
      </c>
      <c r="H144"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44" s="63">
        <f>IF(TournamentData[[#This Row],[Team Number]]="","",_xlfn.RANK.EQ(TournamentData[[#This Row],[Max Robot Game Score]],TournamentData[Max Robot Game Score]))</f>
        <v>1</v>
      </c>
      <c r="J144" s="63">
        <f>IF(TournamentData[[#This Row],[Team Number]]="","",_xlfn.XLOOKUP(TournamentData[[#This Row],[Team Number]],CoreValuesResults[Team Number],CoreValuesResults[Core Values Rank],NumberOfTeams+1,0,))</f>
        <v>1</v>
      </c>
      <c r="K144" s="63">
        <f>IF(TournamentData[[#This Row],[Team Number]]="","",_xlfn.XLOOKUP(TournamentData[[#This Row],[Team Number]],InnovationProjectResults[Team Number],InnovationProjectResults[Innovation Project Rank],NumberOfTeams+1,0,))</f>
        <v>1</v>
      </c>
      <c r="L144" s="63">
        <f>IF(TournamentData[[#This Row],[Team Number]]="","",_xlfn.XLOOKUP(TournamentData[[#This Row],[Team Number]],RobotDesignResults[Team Number],RobotDesignResults[Robot Design Rank],NumberOfTeams+1,0,))</f>
        <v>1</v>
      </c>
      <c r="M144"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44" s="64">
        <f>IF(TournamentData[[#This Row],[Team Number]]="","",IF(M144,RANK(M144,M$3:M$202,1)-COUNTIF(M$3:M$202,0),NumberOfTeams+1))</f>
        <v>1</v>
      </c>
      <c r="O144" s="70">
        <f>_xlfn.XLOOKUP(TournamentData[[#This Row],[Team Number]],CoreValuesResults[Team Number],CoreValuesResults[Breakthrough Selection],0,0,)</f>
        <v>0</v>
      </c>
      <c r="P144" s="70">
        <f>_xlfn.XLOOKUP(TournamentData[[#This Row],[Team Number]],CoreValuesResults[Team Number],CoreValuesResults[Rising All-Star Selection],0,0,)</f>
        <v>0</v>
      </c>
      <c r="Q144" s="70">
        <f>_xlfn.XLOOKUP(TournamentData[[#This Row],[Team Number]],CoreValuesResults[Team Number],CoreValuesResults[Motivate Selection],0,0,)</f>
        <v>0</v>
      </c>
      <c r="R144" s="66"/>
      <c r="S144" s="66"/>
      <c r="T144" s="67"/>
      <c r="U144" s="63">
        <f>_xlfn.XLOOKUP(TournamentData[[#This Row],[Team Number]],CoreValuesResults[Team Number],CoreValuesResults[Core Values Score],0,0,)</f>
        <v>0</v>
      </c>
      <c r="V144" s="63">
        <f>_xlfn.XLOOKUP(TournamentData[[#This Row],[Team Number]],InnovationProjectResults[Team Number],InnovationProjectResults[Innovation Project Score],0,0,)</f>
        <v>0</v>
      </c>
      <c r="W144" s="63">
        <f>_xlfn.XLOOKUP(TournamentData[[#This Row],[Team Number]],RobotDesignResults[Team Number],RobotDesignResults[Robot Design Score],0,0,)</f>
        <v>0</v>
      </c>
      <c r="X144"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44" s="71">
        <f t="shared" si="4"/>
        <v>0</v>
      </c>
      <c r="Z144" s="66"/>
    </row>
    <row r="145" spans="1:26" ht="21" customHeight="1" x14ac:dyDescent="0.45">
      <c r="A145">
        <f>_xlfn.XLOOKUP(143,OfficialTeamList[Row],OfficialTeamList[Team Number],"ERROR",0)</f>
        <v>0</v>
      </c>
      <c r="B145" s="62" t="str">
        <f>_xlfn.XLOOKUP(TournamentData[[#This Row],[Team Number]],OfficialTeamList[Team Number],OfficialTeamList[Team Name],"",0,)</f>
        <v/>
      </c>
      <c r="C145" s="63">
        <f>IF(TournamentData[[#This Row],[Team Number]]="","",_xlfn.XLOOKUP(TournamentData[[#This Row],[Team Number]],RobotGameScores[Team Number],RobotGameScores[Robot Game 1 Score],0,0,))</f>
        <v>0</v>
      </c>
      <c r="D145" s="63">
        <f>IF(TournamentData[[#This Row],[Team Number]]="","",_xlfn.XLOOKUP(TournamentData[[#This Row],[Team Number]],RobotGameScores[Team Number],RobotGameScores[Robot Game 2 Score],0,0,))</f>
        <v>0</v>
      </c>
      <c r="E145" s="63">
        <f>IF(TournamentData[[#This Row],[Team Number]]="","",_xlfn.XLOOKUP(TournamentData[[#This Row],[Team Number]],RobotGameScores[Team Number],RobotGameScores[Robot Game 3 Score],0,0,))</f>
        <v>0</v>
      </c>
      <c r="F145" s="63">
        <f>IF(TournamentData[[#This Row],[Team Number]]="","",_xlfn.XLOOKUP(TournamentData[[#This Row],[Team Number]],RobotGameScores[Team Number],RobotGameScores[Robot Game 4 Score],0,0,))</f>
        <v>0</v>
      </c>
      <c r="G145" s="63">
        <f>IF(TournamentData[[#This Row],[Team Number]]="","",_xlfn.XLOOKUP(TournamentData[[#This Row],[Team Number]],RobotGameScores[Team Number],RobotGameScores[Robot Game 5 Score],0,0,))</f>
        <v>0</v>
      </c>
      <c r="H145"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45" s="63">
        <f>IF(TournamentData[[#This Row],[Team Number]]="","",_xlfn.RANK.EQ(TournamentData[[#This Row],[Max Robot Game Score]],TournamentData[Max Robot Game Score]))</f>
        <v>1</v>
      </c>
      <c r="J145" s="63">
        <f>IF(TournamentData[[#This Row],[Team Number]]="","",_xlfn.XLOOKUP(TournamentData[[#This Row],[Team Number]],CoreValuesResults[Team Number],CoreValuesResults[Core Values Rank],NumberOfTeams+1,0,))</f>
        <v>1</v>
      </c>
      <c r="K145" s="63">
        <f>IF(TournamentData[[#This Row],[Team Number]]="","",_xlfn.XLOOKUP(TournamentData[[#This Row],[Team Number]],InnovationProjectResults[Team Number],InnovationProjectResults[Innovation Project Rank],NumberOfTeams+1,0,))</f>
        <v>1</v>
      </c>
      <c r="L145" s="63">
        <f>IF(TournamentData[[#This Row],[Team Number]]="","",_xlfn.XLOOKUP(TournamentData[[#This Row],[Team Number]],RobotDesignResults[Team Number],RobotDesignResults[Robot Design Rank],NumberOfTeams+1,0,))</f>
        <v>1</v>
      </c>
      <c r="M145"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45" s="64">
        <f>IF(TournamentData[[#This Row],[Team Number]]="","",IF(M145,RANK(M145,M$3:M$202,1)-COUNTIF(M$3:M$202,0),NumberOfTeams+1))</f>
        <v>1</v>
      </c>
      <c r="O145" s="70">
        <f>_xlfn.XLOOKUP(TournamentData[[#This Row],[Team Number]],CoreValuesResults[Team Number],CoreValuesResults[Breakthrough Selection],0,0,)</f>
        <v>0</v>
      </c>
      <c r="P145" s="70">
        <f>_xlfn.XLOOKUP(TournamentData[[#This Row],[Team Number]],CoreValuesResults[Team Number],CoreValuesResults[Rising All-Star Selection],0,0,)</f>
        <v>0</v>
      </c>
      <c r="Q145" s="70">
        <f>_xlfn.XLOOKUP(TournamentData[[#This Row],[Team Number]],CoreValuesResults[Team Number],CoreValuesResults[Motivate Selection],0,0,)</f>
        <v>0</v>
      </c>
      <c r="R145" s="66"/>
      <c r="S145" s="66"/>
      <c r="T145" s="67"/>
      <c r="U145" s="63">
        <f>_xlfn.XLOOKUP(TournamentData[[#This Row],[Team Number]],CoreValuesResults[Team Number],CoreValuesResults[Core Values Score],0,0,)</f>
        <v>0</v>
      </c>
      <c r="V145" s="63">
        <f>_xlfn.XLOOKUP(TournamentData[[#This Row],[Team Number]],InnovationProjectResults[Team Number],InnovationProjectResults[Innovation Project Score],0,0,)</f>
        <v>0</v>
      </c>
      <c r="W145" s="63">
        <f>_xlfn.XLOOKUP(TournamentData[[#This Row],[Team Number]],RobotDesignResults[Team Number],RobotDesignResults[Robot Design Score],0,0,)</f>
        <v>0</v>
      </c>
      <c r="X145"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45" s="71">
        <f t="shared" si="4"/>
        <v>0</v>
      </c>
      <c r="Z145" s="66"/>
    </row>
    <row r="146" spans="1:26" ht="21" customHeight="1" x14ac:dyDescent="0.45">
      <c r="A146">
        <f>_xlfn.XLOOKUP(144,OfficialTeamList[Row],OfficialTeamList[Team Number],"ERROR",0)</f>
        <v>0</v>
      </c>
      <c r="B146" s="62" t="str">
        <f>_xlfn.XLOOKUP(TournamentData[[#This Row],[Team Number]],OfficialTeamList[Team Number],OfficialTeamList[Team Name],"",0,)</f>
        <v/>
      </c>
      <c r="C146" s="63">
        <f>IF(TournamentData[[#This Row],[Team Number]]="","",_xlfn.XLOOKUP(TournamentData[[#This Row],[Team Number]],RobotGameScores[Team Number],RobotGameScores[Robot Game 1 Score],0,0,))</f>
        <v>0</v>
      </c>
      <c r="D146" s="63">
        <f>IF(TournamentData[[#This Row],[Team Number]]="","",_xlfn.XLOOKUP(TournamentData[[#This Row],[Team Number]],RobotGameScores[Team Number],RobotGameScores[Robot Game 2 Score],0,0,))</f>
        <v>0</v>
      </c>
      <c r="E146" s="63">
        <f>IF(TournamentData[[#This Row],[Team Number]]="","",_xlfn.XLOOKUP(TournamentData[[#This Row],[Team Number]],RobotGameScores[Team Number],RobotGameScores[Robot Game 3 Score],0,0,))</f>
        <v>0</v>
      </c>
      <c r="F146" s="63">
        <f>IF(TournamentData[[#This Row],[Team Number]]="","",_xlfn.XLOOKUP(TournamentData[[#This Row],[Team Number]],RobotGameScores[Team Number],RobotGameScores[Robot Game 4 Score],0,0,))</f>
        <v>0</v>
      </c>
      <c r="G146" s="63">
        <f>IF(TournamentData[[#This Row],[Team Number]]="","",_xlfn.XLOOKUP(TournamentData[[#This Row],[Team Number]],RobotGameScores[Team Number],RobotGameScores[Robot Game 5 Score],0,0,))</f>
        <v>0</v>
      </c>
      <c r="H146"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46" s="63">
        <f>IF(TournamentData[[#This Row],[Team Number]]="","",_xlfn.RANK.EQ(TournamentData[[#This Row],[Max Robot Game Score]],TournamentData[Max Robot Game Score]))</f>
        <v>1</v>
      </c>
      <c r="J146" s="63">
        <f>IF(TournamentData[[#This Row],[Team Number]]="","",_xlfn.XLOOKUP(TournamentData[[#This Row],[Team Number]],CoreValuesResults[Team Number],CoreValuesResults[Core Values Rank],NumberOfTeams+1,0,))</f>
        <v>1</v>
      </c>
      <c r="K146" s="63">
        <f>IF(TournamentData[[#This Row],[Team Number]]="","",_xlfn.XLOOKUP(TournamentData[[#This Row],[Team Number]],InnovationProjectResults[Team Number],InnovationProjectResults[Innovation Project Rank],NumberOfTeams+1,0,))</f>
        <v>1</v>
      </c>
      <c r="L146" s="63">
        <f>IF(TournamentData[[#This Row],[Team Number]]="","",_xlfn.XLOOKUP(TournamentData[[#This Row],[Team Number]],RobotDesignResults[Team Number],RobotDesignResults[Robot Design Rank],NumberOfTeams+1,0,))</f>
        <v>1</v>
      </c>
      <c r="M146"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46" s="64">
        <f>IF(TournamentData[[#This Row],[Team Number]]="","",IF(M146,RANK(M146,M$3:M$202,1)-COUNTIF(M$3:M$202,0),NumberOfTeams+1))</f>
        <v>1</v>
      </c>
      <c r="O146" s="70">
        <f>_xlfn.XLOOKUP(TournamentData[[#This Row],[Team Number]],CoreValuesResults[Team Number],CoreValuesResults[Breakthrough Selection],0,0,)</f>
        <v>0</v>
      </c>
      <c r="P146" s="70">
        <f>_xlfn.XLOOKUP(TournamentData[[#This Row],[Team Number]],CoreValuesResults[Team Number],CoreValuesResults[Rising All-Star Selection],0,0,)</f>
        <v>0</v>
      </c>
      <c r="Q146" s="70">
        <f>_xlfn.XLOOKUP(TournamentData[[#This Row],[Team Number]],CoreValuesResults[Team Number],CoreValuesResults[Motivate Selection],0,0,)</f>
        <v>0</v>
      </c>
      <c r="R146" s="66"/>
      <c r="S146" s="66"/>
      <c r="T146" s="67"/>
      <c r="U146" s="63">
        <f>_xlfn.XLOOKUP(TournamentData[[#This Row],[Team Number]],CoreValuesResults[Team Number],CoreValuesResults[Core Values Score],0,0,)</f>
        <v>0</v>
      </c>
      <c r="V146" s="63">
        <f>_xlfn.XLOOKUP(TournamentData[[#This Row],[Team Number]],InnovationProjectResults[Team Number],InnovationProjectResults[Innovation Project Score],0,0,)</f>
        <v>0</v>
      </c>
      <c r="W146" s="63">
        <f>_xlfn.XLOOKUP(TournamentData[[#This Row],[Team Number]],RobotDesignResults[Team Number],RobotDesignResults[Robot Design Score],0,0,)</f>
        <v>0</v>
      </c>
      <c r="X146"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46" s="71">
        <f t="shared" si="4"/>
        <v>0</v>
      </c>
      <c r="Z146" s="66"/>
    </row>
    <row r="147" spans="1:26" ht="21" customHeight="1" x14ac:dyDescent="0.45">
      <c r="A147">
        <f>_xlfn.XLOOKUP(145,OfficialTeamList[Row],OfficialTeamList[Team Number],"ERROR",0)</f>
        <v>0</v>
      </c>
      <c r="B147" s="62" t="str">
        <f>_xlfn.XLOOKUP(TournamentData[[#This Row],[Team Number]],OfficialTeamList[Team Number],OfficialTeamList[Team Name],"",0,)</f>
        <v/>
      </c>
      <c r="C147" s="63">
        <f>IF(TournamentData[[#This Row],[Team Number]]="","",_xlfn.XLOOKUP(TournamentData[[#This Row],[Team Number]],RobotGameScores[Team Number],RobotGameScores[Robot Game 1 Score],0,0,))</f>
        <v>0</v>
      </c>
      <c r="D147" s="63">
        <f>IF(TournamentData[[#This Row],[Team Number]]="","",_xlfn.XLOOKUP(TournamentData[[#This Row],[Team Number]],RobotGameScores[Team Number],RobotGameScores[Robot Game 2 Score],0,0,))</f>
        <v>0</v>
      </c>
      <c r="E147" s="63">
        <f>IF(TournamentData[[#This Row],[Team Number]]="","",_xlfn.XLOOKUP(TournamentData[[#This Row],[Team Number]],RobotGameScores[Team Number],RobotGameScores[Robot Game 3 Score],0,0,))</f>
        <v>0</v>
      </c>
      <c r="F147" s="63">
        <f>IF(TournamentData[[#This Row],[Team Number]]="","",_xlfn.XLOOKUP(TournamentData[[#This Row],[Team Number]],RobotGameScores[Team Number],RobotGameScores[Robot Game 4 Score],0,0,))</f>
        <v>0</v>
      </c>
      <c r="G147" s="63">
        <f>IF(TournamentData[[#This Row],[Team Number]]="","",_xlfn.XLOOKUP(TournamentData[[#This Row],[Team Number]],RobotGameScores[Team Number],RobotGameScores[Robot Game 5 Score],0,0,))</f>
        <v>0</v>
      </c>
      <c r="H147"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47" s="63">
        <f>IF(TournamentData[[#This Row],[Team Number]]="","",_xlfn.RANK.EQ(TournamentData[[#This Row],[Max Robot Game Score]],TournamentData[Max Robot Game Score]))</f>
        <v>1</v>
      </c>
      <c r="J147" s="63">
        <f>IF(TournamentData[[#This Row],[Team Number]]="","",_xlfn.XLOOKUP(TournamentData[[#This Row],[Team Number]],CoreValuesResults[Team Number],CoreValuesResults[Core Values Rank],NumberOfTeams+1,0,))</f>
        <v>1</v>
      </c>
      <c r="K147" s="63">
        <f>IF(TournamentData[[#This Row],[Team Number]]="","",_xlfn.XLOOKUP(TournamentData[[#This Row],[Team Number]],InnovationProjectResults[Team Number],InnovationProjectResults[Innovation Project Rank],NumberOfTeams+1,0,))</f>
        <v>1</v>
      </c>
      <c r="L147" s="63">
        <f>IF(TournamentData[[#This Row],[Team Number]]="","",_xlfn.XLOOKUP(TournamentData[[#This Row],[Team Number]],RobotDesignResults[Team Number],RobotDesignResults[Robot Design Rank],NumberOfTeams+1,0,))</f>
        <v>1</v>
      </c>
      <c r="M147"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47" s="64">
        <f>IF(TournamentData[[#This Row],[Team Number]]="","",IF(M147,RANK(M147,M$3:M$202,1)-COUNTIF(M$3:M$202,0),NumberOfTeams+1))</f>
        <v>1</v>
      </c>
      <c r="O147" s="70">
        <f>_xlfn.XLOOKUP(TournamentData[[#This Row],[Team Number]],CoreValuesResults[Team Number],CoreValuesResults[Breakthrough Selection],0,0,)</f>
        <v>0</v>
      </c>
      <c r="P147" s="70">
        <f>_xlfn.XLOOKUP(TournamentData[[#This Row],[Team Number]],CoreValuesResults[Team Number],CoreValuesResults[Rising All-Star Selection],0,0,)</f>
        <v>0</v>
      </c>
      <c r="Q147" s="70">
        <f>_xlfn.XLOOKUP(TournamentData[[#This Row],[Team Number]],CoreValuesResults[Team Number],CoreValuesResults[Motivate Selection],0,0,)</f>
        <v>0</v>
      </c>
      <c r="R147" s="66"/>
      <c r="S147" s="66"/>
      <c r="T147" s="67"/>
      <c r="U147" s="63">
        <f>_xlfn.XLOOKUP(TournamentData[[#This Row],[Team Number]],CoreValuesResults[Team Number],CoreValuesResults[Core Values Score],0,0,)</f>
        <v>0</v>
      </c>
      <c r="V147" s="63">
        <f>_xlfn.XLOOKUP(TournamentData[[#This Row],[Team Number]],InnovationProjectResults[Team Number],InnovationProjectResults[Innovation Project Score],0,0,)</f>
        <v>0</v>
      </c>
      <c r="W147" s="63">
        <f>_xlfn.XLOOKUP(TournamentData[[#This Row],[Team Number]],RobotDesignResults[Team Number],RobotDesignResults[Robot Design Score],0,0,)</f>
        <v>0</v>
      </c>
      <c r="X147"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47" s="71">
        <f t="shared" si="4"/>
        <v>0</v>
      </c>
      <c r="Z147" s="66"/>
    </row>
    <row r="148" spans="1:26" ht="21" customHeight="1" x14ac:dyDescent="0.45">
      <c r="A148">
        <f>_xlfn.XLOOKUP(146,OfficialTeamList[Row],OfficialTeamList[Team Number],"ERROR",0)</f>
        <v>0</v>
      </c>
      <c r="B148" s="62" t="str">
        <f>_xlfn.XLOOKUP(TournamentData[[#This Row],[Team Number]],OfficialTeamList[Team Number],OfficialTeamList[Team Name],"",0,)</f>
        <v/>
      </c>
      <c r="C148" s="63">
        <f>IF(TournamentData[[#This Row],[Team Number]]="","",_xlfn.XLOOKUP(TournamentData[[#This Row],[Team Number]],RobotGameScores[Team Number],RobotGameScores[Robot Game 1 Score],0,0,))</f>
        <v>0</v>
      </c>
      <c r="D148" s="63">
        <f>IF(TournamentData[[#This Row],[Team Number]]="","",_xlfn.XLOOKUP(TournamentData[[#This Row],[Team Number]],RobotGameScores[Team Number],RobotGameScores[Robot Game 2 Score],0,0,))</f>
        <v>0</v>
      </c>
      <c r="E148" s="63">
        <f>IF(TournamentData[[#This Row],[Team Number]]="","",_xlfn.XLOOKUP(TournamentData[[#This Row],[Team Number]],RobotGameScores[Team Number],RobotGameScores[Robot Game 3 Score],0,0,))</f>
        <v>0</v>
      </c>
      <c r="F148" s="63">
        <f>IF(TournamentData[[#This Row],[Team Number]]="","",_xlfn.XLOOKUP(TournamentData[[#This Row],[Team Number]],RobotGameScores[Team Number],RobotGameScores[Robot Game 4 Score],0,0,))</f>
        <v>0</v>
      </c>
      <c r="G148" s="63">
        <f>IF(TournamentData[[#This Row],[Team Number]]="","",_xlfn.XLOOKUP(TournamentData[[#This Row],[Team Number]],RobotGameScores[Team Number],RobotGameScores[Robot Game 5 Score],0,0,))</f>
        <v>0</v>
      </c>
      <c r="H148"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48" s="63">
        <f>IF(TournamentData[[#This Row],[Team Number]]="","",_xlfn.RANK.EQ(TournamentData[[#This Row],[Max Robot Game Score]],TournamentData[Max Robot Game Score]))</f>
        <v>1</v>
      </c>
      <c r="J148" s="63">
        <f>IF(TournamentData[[#This Row],[Team Number]]="","",_xlfn.XLOOKUP(TournamentData[[#This Row],[Team Number]],CoreValuesResults[Team Number],CoreValuesResults[Core Values Rank],NumberOfTeams+1,0,))</f>
        <v>1</v>
      </c>
      <c r="K148" s="63">
        <f>IF(TournamentData[[#This Row],[Team Number]]="","",_xlfn.XLOOKUP(TournamentData[[#This Row],[Team Number]],InnovationProjectResults[Team Number],InnovationProjectResults[Innovation Project Rank],NumberOfTeams+1,0,))</f>
        <v>1</v>
      </c>
      <c r="L148" s="63">
        <f>IF(TournamentData[[#This Row],[Team Number]]="","",_xlfn.XLOOKUP(TournamentData[[#This Row],[Team Number]],RobotDesignResults[Team Number],RobotDesignResults[Robot Design Rank],NumberOfTeams+1,0,))</f>
        <v>1</v>
      </c>
      <c r="M148"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48" s="64">
        <f>IF(TournamentData[[#This Row],[Team Number]]="","",IF(M148,RANK(M148,M$3:M$202,1)-COUNTIF(M$3:M$202,0),NumberOfTeams+1))</f>
        <v>1</v>
      </c>
      <c r="O148" s="70">
        <f>_xlfn.XLOOKUP(TournamentData[[#This Row],[Team Number]],CoreValuesResults[Team Number],CoreValuesResults[Breakthrough Selection],0,0,)</f>
        <v>0</v>
      </c>
      <c r="P148" s="70">
        <f>_xlfn.XLOOKUP(TournamentData[[#This Row],[Team Number]],CoreValuesResults[Team Number],CoreValuesResults[Rising All-Star Selection],0,0,)</f>
        <v>0</v>
      </c>
      <c r="Q148" s="70">
        <f>_xlfn.XLOOKUP(TournamentData[[#This Row],[Team Number]],CoreValuesResults[Team Number],CoreValuesResults[Motivate Selection],0,0,)</f>
        <v>0</v>
      </c>
      <c r="R148" s="66"/>
      <c r="S148" s="66"/>
      <c r="T148" s="67"/>
      <c r="U148" s="63">
        <f>_xlfn.XLOOKUP(TournamentData[[#This Row],[Team Number]],CoreValuesResults[Team Number],CoreValuesResults[Core Values Score],0,0,)</f>
        <v>0</v>
      </c>
      <c r="V148" s="63">
        <f>_xlfn.XLOOKUP(TournamentData[[#This Row],[Team Number]],InnovationProjectResults[Team Number],InnovationProjectResults[Innovation Project Score],0,0,)</f>
        <v>0</v>
      </c>
      <c r="W148" s="63">
        <f>_xlfn.XLOOKUP(TournamentData[[#This Row],[Team Number]],RobotDesignResults[Team Number],RobotDesignResults[Robot Design Score],0,0,)</f>
        <v>0</v>
      </c>
      <c r="X148"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48" s="71">
        <f t="shared" si="4"/>
        <v>0</v>
      </c>
      <c r="Z148" s="66"/>
    </row>
    <row r="149" spans="1:26" ht="21" customHeight="1" x14ac:dyDescent="0.45">
      <c r="A149">
        <f>_xlfn.XLOOKUP(147,OfficialTeamList[Row],OfficialTeamList[Team Number],"ERROR",0)</f>
        <v>0</v>
      </c>
      <c r="B149" s="62" t="str">
        <f>_xlfn.XLOOKUP(TournamentData[[#This Row],[Team Number]],OfficialTeamList[Team Number],OfficialTeamList[Team Name],"",0,)</f>
        <v/>
      </c>
      <c r="C149" s="63">
        <f>IF(TournamentData[[#This Row],[Team Number]]="","",_xlfn.XLOOKUP(TournamentData[[#This Row],[Team Number]],RobotGameScores[Team Number],RobotGameScores[Robot Game 1 Score],0,0,))</f>
        <v>0</v>
      </c>
      <c r="D149" s="63">
        <f>IF(TournamentData[[#This Row],[Team Number]]="","",_xlfn.XLOOKUP(TournamentData[[#This Row],[Team Number]],RobotGameScores[Team Number],RobotGameScores[Robot Game 2 Score],0,0,))</f>
        <v>0</v>
      </c>
      <c r="E149" s="63">
        <f>IF(TournamentData[[#This Row],[Team Number]]="","",_xlfn.XLOOKUP(TournamentData[[#This Row],[Team Number]],RobotGameScores[Team Number],RobotGameScores[Robot Game 3 Score],0,0,))</f>
        <v>0</v>
      </c>
      <c r="F149" s="63">
        <f>IF(TournamentData[[#This Row],[Team Number]]="","",_xlfn.XLOOKUP(TournamentData[[#This Row],[Team Number]],RobotGameScores[Team Number],RobotGameScores[Robot Game 4 Score],0,0,))</f>
        <v>0</v>
      </c>
      <c r="G149" s="63">
        <f>IF(TournamentData[[#This Row],[Team Number]]="","",_xlfn.XLOOKUP(TournamentData[[#This Row],[Team Number]],RobotGameScores[Team Number],RobotGameScores[Robot Game 5 Score],0,0,))</f>
        <v>0</v>
      </c>
      <c r="H149"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49" s="63">
        <f>IF(TournamentData[[#This Row],[Team Number]]="","",_xlfn.RANK.EQ(TournamentData[[#This Row],[Max Robot Game Score]],TournamentData[Max Robot Game Score]))</f>
        <v>1</v>
      </c>
      <c r="J149" s="63">
        <f>IF(TournamentData[[#This Row],[Team Number]]="","",_xlfn.XLOOKUP(TournamentData[[#This Row],[Team Number]],CoreValuesResults[Team Number],CoreValuesResults[Core Values Rank],NumberOfTeams+1,0,))</f>
        <v>1</v>
      </c>
      <c r="K149" s="63">
        <f>IF(TournamentData[[#This Row],[Team Number]]="","",_xlfn.XLOOKUP(TournamentData[[#This Row],[Team Number]],InnovationProjectResults[Team Number],InnovationProjectResults[Innovation Project Rank],NumberOfTeams+1,0,))</f>
        <v>1</v>
      </c>
      <c r="L149" s="63">
        <f>IF(TournamentData[[#This Row],[Team Number]]="","",_xlfn.XLOOKUP(TournamentData[[#This Row],[Team Number]],RobotDesignResults[Team Number],RobotDesignResults[Robot Design Rank],NumberOfTeams+1,0,))</f>
        <v>1</v>
      </c>
      <c r="M149"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49" s="64">
        <f>IF(TournamentData[[#This Row],[Team Number]]="","",IF(M149,RANK(M149,M$3:M$202,1)-COUNTIF(M$3:M$202,0),NumberOfTeams+1))</f>
        <v>1</v>
      </c>
      <c r="O149" s="70">
        <f>_xlfn.XLOOKUP(TournamentData[[#This Row],[Team Number]],CoreValuesResults[Team Number],CoreValuesResults[Breakthrough Selection],0,0,)</f>
        <v>0</v>
      </c>
      <c r="P149" s="70">
        <f>_xlfn.XLOOKUP(TournamentData[[#This Row],[Team Number]],CoreValuesResults[Team Number],CoreValuesResults[Rising All-Star Selection],0,0,)</f>
        <v>0</v>
      </c>
      <c r="Q149" s="70">
        <f>_xlfn.XLOOKUP(TournamentData[[#This Row],[Team Number]],CoreValuesResults[Team Number],CoreValuesResults[Motivate Selection],0,0,)</f>
        <v>0</v>
      </c>
      <c r="R149" s="66"/>
      <c r="S149" s="66"/>
      <c r="T149" s="67"/>
      <c r="U149" s="63">
        <f>_xlfn.XLOOKUP(TournamentData[[#This Row],[Team Number]],CoreValuesResults[Team Number],CoreValuesResults[Core Values Score],0,0,)</f>
        <v>0</v>
      </c>
      <c r="V149" s="63">
        <f>_xlfn.XLOOKUP(TournamentData[[#This Row],[Team Number]],InnovationProjectResults[Team Number],InnovationProjectResults[Innovation Project Score],0,0,)</f>
        <v>0</v>
      </c>
      <c r="W149" s="63">
        <f>_xlfn.XLOOKUP(TournamentData[[#This Row],[Team Number]],RobotDesignResults[Team Number],RobotDesignResults[Robot Design Score],0,0,)</f>
        <v>0</v>
      </c>
      <c r="X149"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49" s="71">
        <f t="shared" si="4"/>
        <v>0</v>
      </c>
      <c r="Z149" s="66"/>
    </row>
    <row r="150" spans="1:26" ht="21" customHeight="1" x14ac:dyDescent="0.45">
      <c r="A150">
        <f>_xlfn.XLOOKUP(148,OfficialTeamList[Row],OfficialTeamList[Team Number],"ERROR",0)</f>
        <v>0</v>
      </c>
      <c r="B150" s="62" t="str">
        <f>_xlfn.XLOOKUP(TournamentData[[#This Row],[Team Number]],OfficialTeamList[Team Number],OfficialTeamList[Team Name],"",0,)</f>
        <v/>
      </c>
      <c r="C150" s="63">
        <f>IF(TournamentData[[#This Row],[Team Number]]="","",_xlfn.XLOOKUP(TournamentData[[#This Row],[Team Number]],RobotGameScores[Team Number],RobotGameScores[Robot Game 1 Score],0,0,))</f>
        <v>0</v>
      </c>
      <c r="D150" s="63">
        <f>IF(TournamentData[[#This Row],[Team Number]]="","",_xlfn.XLOOKUP(TournamentData[[#This Row],[Team Number]],RobotGameScores[Team Number],RobotGameScores[Robot Game 2 Score],0,0,))</f>
        <v>0</v>
      </c>
      <c r="E150" s="63">
        <f>IF(TournamentData[[#This Row],[Team Number]]="","",_xlfn.XLOOKUP(TournamentData[[#This Row],[Team Number]],RobotGameScores[Team Number],RobotGameScores[Robot Game 3 Score],0,0,))</f>
        <v>0</v>
      </c>
      <c r="F150" s="63">
        <f>IF(TournamentData[[#This Row],[Team Number]]="","",_xlfn.XLOOKUP(TournamentData[[#This Row],[Team Number]],RobotGameScores[Team Number],RobotGameScores[Robot Game 4 Score],0,0,))</f>
        <v>0</v>
      </c>
      <c r="G150" s="63">
        <f>IF(TournamentData[[#This Row],[Team Number]]="","",_xlfn.XLOOKUP(TournamentData[[#This Row],[Team Number]],RobotGameScores[Team Number],RobotGameScores[Robot Game 5 Score],0,0,))</f>
        <v>0</v>
      </c>
      <c r="H150"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50" s="63">
        <f>IF(TournamentData[[#This Row],[Team Number]]="","",_xlfn.RANK.EQ(TournamentData[[#This Row],[Max Robot Game Score]],TournamentData[Max Robot Game Score]))</f>
        <v>1</v>
      </c>
      <c r="J150" s="63">
        <f>IF(TournamentData[[#This Row],[Team Number]]="","",_xlfn.XLOOKUP(TournamentData[[#This Row],[Team Number]],CoreValuesResults[Team Number],CoreValuesResults[Core Values Rank],NumberOfTeams+1,0,))</f>
        <v>1</v>
      </c>
      <c r="K150" s="63">
        <f>IF(TournamentData[[#This Row],[Team Number]]="","",_xlfn.XLOOKUP(TournamentData[[#This Row],[Team Number]],InnovationProjectResults[Team Number],InnovationProjectResults[Innovation Project Rank],NumberOfTeams+1,0,))</f>
        <v>1</v>
      </c>
      <c r="L150" s="63">
        <f>IF(TournamentData[[#This Row],[Team Number]]="","",_xlfn.XLOOKUP(TournamentData[[#This Row],[Team Number]],RobotDesignResults[Team Number],RobotDesignResults[Robot Design Rank],NumberOfTeams+1,0,))</f>
        <v>1</v>
      </c>
      <c r="M150"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50" s="64">
        <f>IF(TournamentData[[#This Row],[Team Number]]="","",IF(M150,RANK(M150,M$3:M$202,1)-COUNTIF(M$3:M$202,0),NumberOfTeams+1))</f>
        <v>1</v>
      </c>
      <c r="O150" s="70">
        <f>_xlfn.XLOOKUP(TournamentData[[#This Row],[Team Number]],CoreValuesResults[Team Number],CoreValuesResults[Breakthrough Selection],0,0,)</f>
        <v>0</v>
      </c>
      <c r="P150" s="70">
        <f>_xlfn.XLOOKUP(TournamentData[[#This Row],[Team Number]],CoreValuesResults[Team Number],CoreValuesResults[Rising All-Star Selection],0,0,)</f>
        <v>0</v>
      </c>
      <c r="Q150" s="70">
        <f>_xlfn.XLOOKUP(TournamentData[[#This Row],[Team Number]],CoreValuesResults[Team Number],CoreValuesResults[Motivate Selection],0,0,)</f>
        <v>0</v>
      </c>
      <c r="R150" s="66"/>
      <c r="S150" s="66"/>
      <c r="T150" s="67"/>
      <c r="U150" s="63">
        <f>_xlfn.XLOOKUP(TournamentData[[#This Row],[Team Number]],CoreValuesResults[Team Number],CoreValuesResults[Core Values Score],0,0,)</f>
        <v>0</v>
      </c>
      <c r="V150" s="63">
        <f>_xlfn.XLOOKUP(TournamentData[[#This Row],[Team Number]],InnovationProjectResults[Team Number],InnovationProjectResults[Innovation Project Score],0,0,)</f>
        <v>0</v>
      </c>
      <c r="W150" s="63">
        <f>_xlfn.XLOOKUP(TournamentData[[#This Row],[Team Number]],RobotDesignResults[Team Number],RobotDesignResults[Robot Design Score],0,0,)</f>
        <v>0</v>
      </c>
      <c r="X150"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50" s="71">
        <f t="shared" si="4"/>
        <v>0</v>
      </c>
      <c r="Z150" s="66"/>
    </row>
    <row r="151" spans="1:26" ht="21" customHeight="1" x14ac:dyDescent="0.45">
      <c r="A151">
        <f>_xlfn.XLOOKUP(149,OfficialTeamList[Row],OfficialTeamList[Team Number],"ERROR",0)</f>
        <v>0</v>
      </c>
      <c r="B151" s="62" t="str">
        <f>_xlfn.XLOOKUP(TournamentData[[#This Row],[Team Number]],OfficialTeamList[Team Number],OfficialTeamList[Team Name],"",0,)</f>
        <v/>
      </c>
      <c r="C151" s="63">
        <f>IF(TournamentData[[#This Row],[Team Number]]="","",_xlfn.XLOOKUP(TournamentData[[#This Row],[Team Number]],RobotGameScores[Team Number],RobotGameScores[Robot Game 1 Score],0,0,))</f>
        <v>0</v>
      </c>
      <c r="D151" s="63">
        <f>IF(TournamentData[[#This Row],[Team Number]]="","",_xlfn.XLOOKUP(TournamentData[[#This Row],[Team Number]],RobotGameScores[Team Number],RobotGameScores[Robot Game 2 Score],0,0,))</f>
        <v>0</v>
      </c>
      <c r="E151" s="63">
        <f>IF(TournamentData[[#This Row],[Team Number]]="","",_xlfn.XLOOKUP(TournamentData[[#This Row],[Team Number]],RobotGameScores[Team Number],RobotGameScores[Robot Game 3 Score],0,0,))</f>
        <v>0</v>
      </c>
      <c r="F151" s="63">
        <f>IF(TournamentData[[#This Row],[Team Number]]="","",_xlfn.XLOOKUP(TournamentData[[#This Row],[Team Number]],RobotGameScores[Team Number],RobotGameScores[Robot Game 4 Score],0,0,))</f>
        <v>0</v>
      </c>
      <c r="G151" s="63">
        <f>IF(TournamentData[[#This Row],[Team Number]]="","",_xlfn.XLOOKUP(TournamentData[[#This Row],[Team Number]],RobotGameScores[Team Number],RobotGameScores[Robot Game 5 Score],0,0,))</f>
        <v>0</v>
      </c>
      <c r="H151"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51" s="63">
        <f>IF(TournamentData[[#This Row],[Team Number]]="","",_xlfn.RANK.EQ(TournamentData[[#This Row],[Max Robot Game Score]],TournamentData[Max Robot Game Score]))</f>
        <v>1</v>
      </c>
      <c r="J151" s="63">
        <f>IF(TournamentData[[#This Row],[Team Number]]="","",_xlfn.XLOOKUP(TournamentData[[#This Row],[Team Number]],CoreValuesResults[Team Number],CoreValuesResults[Core Values Rank],NumberOfTeams+1,0,))</f>
        <v>1</v>
      </c>
      <c r="K151" s="63">
        <f>IF(TournamentData[[#This Row],[Team Number]]="","",_xlfn.XLOOKUP(TournamentData[[#This Row],[Team Number]],InnovationProjectResults[Team Number],InnovationProjectResults[Innovation Project Rank],NumberOfTeams+1,0,))</f>
        <v>1</v>
      </c>
      <c r="L151" s="63">
        <f>IF(TournamentData[[#This Row],[Team Number]]="","",_xlfn.XLOOKUP(TournamentData[[#This Row],[Team Number]],RobotDesignResults[Team Number],RobotDesignResults[Robot Design Rank],NumberOfTeams+1,0,))</f>
        <v>1</v>
      </c>
      <c r="M151"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51" s="64">
        <f>IF(TournamentData[[#This Row],[Team Number]]="","",IF(M151,RANK(M151,M$3:M$202,1)-COUNTIF(M$3:M$202,0),NumberOfTeams+1))</f>
        <v>1</v>
      </c>
      <c r="O151" s="70">
        <f>_xlfn.XLOOKUP(TournamentData[[#This Row],[Team Number]],CoreValuesResults[Team Number],CoreValuesResults[Breakthrough Selection],0,0,)</f>
        <v>0</v>
      </c>
      <c r="P151" s="70">
        <f>_xlfn.XLOOKUP(TournamentData[[#This Row],[Team Number]],CoreValuesResults[Team Number],CoreValuesResults[Rising All-Star Selection],0,0,)</f>
        <v>0</v>
      </c>
      <c r="Q151" s="70">
        <f>_xlfn.XLOOKUP(TournamentData[[#This Row],[Team Number]],CoreValuesResults[Team Number],CoreValuesResults[Motivate Selection],0,0,)</f>
        <v>0</v>
      </c>
      <c r="R151" s="66"/>
      <c r="S151" s="66"/>
      <c r="T151" s="67"/>
      <c r="U151" s="63">
        <f>_xlfn.XLOOKUP(TournamentData[[#This Row],[Team Number]],CoreValuesResults[Team Number],CoreValuesResults[Core Values Score],0,0,)</f>
        <v>0</v>
      </c>
      <c r="V151" s="63">
        <f>_xlfn.XLOOKUP(TournamentData[[#This Row],[Team Number]],InnovationProjectResults[Team Number],InnovationProjectResults[Innovation Project Score],0,0,)</f>
        <v>0</v>
      </c>
      <c r="W151" s="63">
        <f>_xlfn.XLOOKUP(TournamentData[[#This Row],[Team Number]],RobotDesignResults[Team Number],RobotDesignResults[Robot Design Score],0,0,)</f>
        <v>0</v>
      </c>
      <c r="X151"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51" s="71">
        <f t="shared" si="4"/>
        <v>0</v>
      </c>
      <c r="Z151" s="66"/>
    </row>
    <row r="152" spans="1:26" ht="21" customHeight="1" x14ac:dyDescent="0.45">
      <c r="A152">
        <f>_xlfn.XLOOKUP(150,OfficialTeamList[Row],OfficialTeamList[Team Number],"ERROR",0)</f>
        <v>0</v>
      </c>
      <c r="B152" s="62" t="str">
        <f>_xlfn.XLOOKUP(TournamentData[[#This Row],[Team Number]],OfficialTeamList[Team Number],OfficialTeamList[Team Name],"",0,)</f>
        <v/>
      </c>
      <c r="C152" s="63">
        <f>IF(TournamentData[[#This Row],[Team Number]]="","",_xlfn.XLOOKUP(TournamentData[[#This Row],[Team Number]],RobotGameScores[Team Number],RobotGameScores[Robot Game 1 Score],0,0,))</f>
        <v>0</v>
      </c>
      <c r="D152" s="63">
        <f>IF(TournamentData[[#This Row],[Team Number]]="","",_xlfn.XLOOKUP(TournamentData[[#This Row],[Team Number]],RobotGameScores[Team Number],RobotGameScores[Robot Game 2 Score],0,0,))</f>
        <v>0</v>
      </c>
      <c r="E152" s="63">
        <f>IF(TournamentData[[#This Row],[Team Number]]="","",_xlfn.XLOOKUP(TournamentData[[#This Row],[Team Number]],RobotGameScores[Team Number],RobotGameScores[Robot Game 3 Score],0,0,))</f>
        <v>0</v>
      </c>
      <c r="F152" s="63">
        <f>IF(TournamentData[[#This Row],[Team Number]]="","",_xlfn.XLOOKUP(TournamentData[[#This Row],[Team Number]],RobotGameScores[Team Number],RobotGameScores[Robot Game 4 Score],0,0,))</f>
        <v>0</v>
      </c>
      <c r="G152" s="63">
        <f>IF(TournamentData[[#This Row],[Team Number]]="","",_xlfn.XLOOKUP(TournamentData[[#This Row],[Team Number]],RobotGameScores[Team Number],RobotGameScores[Robot Game 5 Score],0,0,))</f>
        <v>0</v>
      </c>
      <c r="H152"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52" s="63">
        <f>IF(TournamentData[[#This Row],[Team Number]]="","",_xlfn.RANK.EQ(TournamentData[[#This Row],[Max Robot Game Score]],TournamentData[Max Robot Game Score]))</f>
        <v>1</v>
      </c>
      <c r="J152" s="63">
        <f>IF(TournamentData[[#This Row],[Team Number]]="","",_xlfn.XLOOKUP(TournamentData[[#This Row],[Team Number]],CoreValuesResults[Team Number],CoreValuesResults[Core Values Rank],NumberOfTeams+1,0,))</f>
        <v>1</v>
      </c>
      <c r="K152" s="63">
        <f>IF(TournamentData[[#This Row],[Team Number]]="","",_xlfn.XLOOKUP(TournamentData[[#This Row],[Team Number]],InnovationProjectResults[Team Number],InnovationProjectResults[Innovation Project Rank],NumberOfTeams+1,0,))</f>
        <v>1</v>
      </c>
      <c r="L152" s="63">
        <f>IF(TournamentData[[#This Row],[Team Number]]="","",_xlfn.XLOOKUP(TournamentData[[#This Row],[Team Number]],RobotDesignResults[Team Number],RobotDesignResults[Robot Design Rank],NumberOfTeams+1,0,))</f>
        <v>1</v>
      </c>
      <c r="M152"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52" s="64">
        <f>IF(TournamentData[[#This Row],[Team Number]]="","",IF(M152,RANK(M152,M$3:M$202,1)-COUNTIF(M$3:M$202,0),NumberOfTeams+1))</f>
        <v>1</v>
      </c>
      <c r="O152" s="70">
        <f>_xlfn.XLOOKUP(TournamentData[[#This Row],[Team Number]],CoreValuesResults[Team Number],CoreValuesResults[Breakthrough Selection],0,0,)</f>
        <v>0</v>
      </c>
      <c r="P152" s="70">
        <f>_xlfn.XLOOKUP(TournamentData[[#This Row],[Team Number]],CoreValuesResults[Team Number],CoreValuesResults[Rising All-Star Selection],0,0,)</f>
        <v>0</v>
      </c>
      <c r="Q152" s="70">
        <f>_xlfn.XLOOKUP(TournamentData[[#This Row],[Team Number]],CoreValuesResults[Team Number],CoreValuesResults[Motivate Selection],0,0,)</f>
        <v>0</v>
      </c>
      <c r="R152" s="66"/>
      <c r="S152" s="66"/>
      <c r="T152" s="67"/>
      <c r="U152" s="63">
        <f>_xlfn.XLOOKUP(TournamentData[[#This Row],[Team Number]],CoreValuesResults[Team Number],CoreValuesResults[Core Values Score],0,0,)</f>
        <v>0</v>
      </c>
      <c r="V152" s="63">
        <f>_xlfn.XLOOKUP(TournamentData[[#This Row],[Team Number]],InnovationProjectResults[Team Number],InnovationProjectResults[Innovation Project Score],0,0,)</f>
        <v>0</v>
      </c>
      <c r="W152" s="63">
        <f>_xlfn.XLOOKUP(TournamentData[[#This Row],[Team Number]],RobotDesignResults[Team Number],RobotDesignResults[Robot Design Score],0,0,)</f>
        <v>0</v>
      </c>
      <c r="X152"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52" s="71">
        <f t="shared" si="4"/>
        <v>0</v>
      </c>
      <c r="Z152" s="66"/>
    </row>
    <row r="153" spans="1:26" ht="21" customHeight="1" x14ac:dyDescent="0.45">
      <c r="A153">
        <f>_xlfn.XLOOKUP(151,OfficialTeamList[Row],OfficialTeamList[Team Number],"ERROR",0)</f>
        <v>0</v>
      </c>
      <c r="B153" s="62" t="str">
        <f>_xlfn.XLOOKUP(TournamentData[[#This Row],[Team Number]],OfficialTeamList[Team Number],OfficialTeamList[Team Name],"",0,)</f>
        <v/>
      </c>
      <c r="C153" s="63">
        <f>IF(TournamentData[[#This Row],[Team Number]]="","",_xlfn.XLOOKUP(TournamentData[[#This Row],[Team Number]],RobotGameScores[Team Number],RobotGameScores[Robot Game 1 Score],0,0,))</f>
        <v>0</v>
      </c>
      <c r="D153" s="63">
        <f>IF(TournamentData[[#This Row],[Team Number]]="","",_xlfn.XLOOKUP(TournamentData[[#This Row],[Team Number]],RobotGameScores[Team Number],RobotGameScores[Robot Game 2 Score],0,0,))</f>
        <v>0</v>
      </c>
      <c r="E153" s="63">
        <f>IF(TournamentData[[#This Row],[Team Number]]="","",_xlfn.XLOOKUP(TournamentData[[#This Row],[Team Number]],RobotGameScores[Team Number],RobotGameScores[Robot Game 3 Score],0,0,))</f>
        <v>0</v>
      </c>
      <c r="F153" s="63">
        <f>IF(TournamentData[[#This Row],[Team Number]]="","",_xlfn.XLOOKUP(TournamentData[[#This Row],[Team Number]],RobotGameScores[Team Number],RobotGameScores[Robot Game 4 Score],0,0,))</f>
        <v>0</v>
      </c>
      <c r="G153" s="63">
        <f>IF(TournamentData[[#This Row],[Team Number]]="","",_xlfn.XLOOKUP(TournamentData[[#This Row],[Team Number]],RobotGameScores[Team Number],RobotGameScores[Robot Game 5 Score],0,0,))</f>
        <v>0</v>
      </c>
      <c r="H153"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53" s="63">
        <f>IF(TournamentData[[#This Row],[Team Number]]="","",_xlfn.RANK.EQ(TournamentData[[#This Row],[Max Robot Game Score]],TournamentData[Max Robot Game Score]))</f>
        <v>1</v>
      </c>
      <c r="J153" s="63">
        <f>IF(TournamentData[[#This Row],[Team Number]]="","",_xlfn.XLOOKUP(TournamentData[[#This Row],[Team Number]],CoreValuesResults[Team Number],CoreValuesResults[Core Values Rank],NumberOfTeams+1,0,))</f>
        <v>1</v>
      </c>
      <c r="K153" s="63">
        <f>IF(TournamentData[[#This Row],[Team Number]]="","",_xlfn.XLOOKUP(TournamentData[[#This Row],[Team Number]],InnovationProjectResults[Team Number],InnovationProjectResults[Innovation Project Rank],NumberOfTeams+1,0,))</f>
        <v>1</v>
      </c>
      <c r="L153" s="63">
        <f>IF(TournamentData[[#This Row],[Team Number]]="","",_xlfn.XLOOKUP(TournamentData[[#This Row],[Team Number]],RobotDesignResults[Team Number],RobotDesignResults[Robot Design Rank],NumberOfTeams+1,0,))</f>
        <v>1</v>
      </c>
      <c r="M153"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53" s="64">
        <f>IF(TournamentData[[#This Row],[Team Number]]="","",IF(M153,RANK(M153,M$3:M$202,1)-COUNTIF(M$3:M$202,0),NumberOfTeams+1))</f>
        <v>1</v>
      </c>
      <c r="O153" s="70">
        <f>_xlfn.XLOOKUP(TournamentData[[#This Row],[Team Number]],CoreValuesResults[Team Number],CoreValuesResults[Breakthrough Selection],0,0,)</f>
        <v>0</v>
      </c>
      <c r="P153" s="70">
        <f>_xlfn.XLOOKUP(TournamentData[[#This Row],[Team Number]],CoreValuesResults[Team Number],CoreValuesResults[Rising All-Star Selection],0,0,)</f>
        <v>0</v>
      </c>
      <c r="Q153" s="70">
        <f>_xlfn.XLOOKUP(TournamentData[[#This Row],[Team Number]],CoreValuesResults[Team Number],CoreValuesResults[Motivate Selection],0,0,)</f>
        <v>0</v>
      </c>
      <c r="R153" s="66"/>
      <c r="S153" s="66"/>
      <c r="T153" s="67"/>
      <c r="U153" s="63">
        <f>_xlfn.XLOOKUP(TournamentData[[#This Row],[Team Number]],CoreValuesResults[Team Number],CoreValuesResults[Core Values Score],0,0,)</f>
        <v>0</v>
      </c>
      <c r="V153" s="63">
        <f>_xlfn.XLOOKUP(TournamentData[[#This Row],[Team Number]],InnovationProjectResults[Team Number],InnovationProjectResults[Innovation Project Score],0,0,)</f>
        <v>0</v>
      </c>
      <c r="W153" s="63">
        <f>_xlfn.XLOOKUP(TournamentData[[#This Row],[Team Number]],RobotDesignResults[Team Number],RobotDesignResults[Robot Design Score],0,0,)</f>
        <v>0</v>
      </c>
      <c r="X153"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53" s="71">
        <f t="shared" si="4"/>
        <v>0</v>
      </c>
      <c r="Z153" s="66"/>
    </row>
    <row r="154" spans="1:26" ht="21" customHeight="1" x14ac:dyDescent="0.45">
      <c r="A154">
        <f>_xlfn.XLOOKUP(152,OfficialTeamList[Row],OfficialTeamList[Team Number],"ERROR",0)</f>
        <v>0</v>
      </c>
      <c r="B154" s="62" t="str">
        <f>_xlfn.XLOOKUP(TournamentData[[#This Row],[Team Number]],OfficialTeamList[Team Number],OfficialTeamList[Team Name],"",0,)</f>
        <v/>
      </c>
      <c r="C154" s="63">
        <f>IF(TournamentData[[#This Row],[Team Number]]="","",_xlfn.XLOOKUP(TournamentData[[#This Row],[Team Number]],RobotGameScores[Team Number],RobotGameScores[Robot Game 1 Score],0,0,))</f>
        <v>0</v>
      </c>
      <c r="D154" s="63">
        <f>IF(TournamentData[[#This Row],[Team Number]]="","",_xlfn.XLOOKUP(TournamentData[[#This Row],[Team Number]],RobotGameScores[Team Number],RobotGameScores[Robot Game 2 Score],0,0,))</f>
        <v>0</v>
      </c>
      <c r="E154" s="63">
        <f>IF(TournamentData[[#This Row],[Team Number]]="","",_xlfn.XLOOKUP(TournamentData[[#This Row],[Team Number]],RobotGameScores[Team Number],RobotGameScores[Robot Game 3 Score],0,0,))</f>
        <v>0</v>
      </c>
      <c r="F154" s="63">
        <f>IF(TournamentData[[#This Row],[Team Number]]="","",_xlfn.XLOOKUP(TournamentData[[#This Row],[Team Number]],RobotGameScores[Team Number],RobotGameScores[Robot Game 4 Score],0,0,))</f>
        <v>0</v>
      </c>
      <c r="G154" s="63">
        <f>IF(TournamentData[[#This Row],[Team Number]]="","",_xlfn.XLOOKUP(TournamentData[[#This Row],[Team Number]],RobotGameScores[Team Number],RobotGameScores[Robot Game 5 Score],0,0,))</f>
        <v>0</v>
      </c>
      <c r="H154"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54" s="63">
        <f>IF(TournamentData[[#This Row],[Team Number]]="","",_xlfn.RANK.EQ(TournamentData[[#This Row],[Max Robot Game Score]],TournamentData[Max Robot Game Score]))</f>
        <v>1</v>
      </c>
      <c r="J154" s="63">
        <f>IF(TournamentData[[#This Row],[Team Number]]="","",_xlfn.XLOOKUP(TournamentData[[#This Row],[Team Number]],CoreValuesResults[Team Number],CoreValuesResults[Core Values Rank],NumberOfTeams+1,0,))</f>
        <v>1</v>
      </c>
      <c r="K154" s="63">
        <f>IF(TournamentData[[#This Row],[Team Number]]="","",_xlfn.XLOOKUP(TournamentData[[#This Row],[Team Number]],InnovationProjectResults[Team Number],InnovationProjectResults[Innovation Project Rank],NumberOfTeams+1,0,))</f>
        <v>1</v>
      </c>
      <c r="L154" s="63">
        <f>IF(TournamentData[[#This Row],[Team Number]]="","",_xlfn.XLOOKUP(TournamentData[[#This Row],[Team Number]],RobotDesignResults[Team Number],RobotDesignResults[Robot Design Rank],NumberOfTeams+1,0,))</f>
        <v>1</v>
      </c>
      <c r="M154"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54" s="64">
        <f>IF(TournamentData[[#This Row],[Team Number]]="","",IF(M154,RANK(M154,M$3:M$202,1)-COUNTIF(M$3:M$202,0),NumberOfTeams+1))</f>
        <v>1</v>
      </c>
      <c r="O154" s="70">
        <f>_xlfn.XLOOKUP(TournamentData[[#This Row],[Team Number]],CoreValuesResults[Team Number],CoreValuesResults[Breakthrough Selection],0,0,)</f>
        <v>0</v>
      </c>
      <c r="P154" s="70">
        <f>_xlfn.XLOOKUP(TournamentData[[#This Row],[Team Number]],CoreValuesResults[Team Number],CoreValuesResults[Rising All-Star Selection],0,0,)</f>
        <v>0</v>
      </c>
      <c r="Q154" s="70">
        <f>_xlfn.XLOOKUP(TournamentData[[#This Row],[Team Number]],CoreValuesResults[Team Number],CoreValuesResults[Motivate Selection],0,0,)</f>
        <v>0</v>
      </c>
      <c r="R154" s="66"/>
      <c r="S154" s="66"/>
      <c r="T154" s="67"/>
      <c r="U154" s="63">
        <f>_xlfn.XLOOKUP(TournamentData[[#This Row],[Team Number]],CoreValuesResults[Team Number],CoreValuesResults[Core Values Score],0,0,)</f>
        <v>0</v>
      </c>
      <c r="V154" s="63">
        <f>_xlfn.XLOOKUP(TournamentData[[#This Row],[Team Number]],InnovationProjectResults[Team Number],InnovationProjectResults[Innovation Project Score],0,0,)</f>
        <v>0</v>
      </c>
      <c r="W154" s="63">
        <f>_xlfn.XLOOKUP(TournamentData[[#This Row],[Team Number]],RobotDesignResults[Team Number],RobotDesignResults[Robot Design Score],0,0,)</f>
        <v>0</v>
      </c>
      <c r="X154"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54" s="71">
        <f t="shared" si="4"/>
        <v>0</v>
      </c>
      <c r="Z154" s="66"/>
    </row>
    <row r="155" spans="1:26" ht="21" customHeight="1" x14ac:dyDescent="0.45">
      <c r="A155">
        <f>_xlfn.XLOOKUP(153,OfficialTeamList[Row],OfficialTeamList[Team Number],"ERROR",0)</f>
        <v>0</v>
      </c>
      <c r="B155" s="62" t="str">
        <f>_xlfn.XLOOKUP(TournamentData[[#This Row],[Team Number]],OfficialTeamList[Team Number],OfficialTeamList[Team Name],"",0,)</f>
        <v/>
      </c>
      <c r="C155" s="63">
        <f>IF(TournamentData[[#This Row],[Team Number]]="","",_xlfn.XLOOKUP(TournamentData[[#This Row],[Team Number]],RobotGameScores[Team Number],RobotGameScores[Robot Game 1 Score],0,0,))</f>
        <v>0</v>
      </c>
      <c r="D155" s="63">
        <f>IF(TournamentData[[#This Row],[Team Number]]="","",_xlfn.XLOOKUP(TournamentData[[#This Row],[Team Number]],RobotGameScores[Team Number],RobotGameScores[Robot Game 2 Score],0,0,))</f>
        <v>0</v>
      </c>
      <c r="E155" s="63">
        <f>IF(TournamentData[[#This Row],[Team Number]]="","",_xlfn.XLOOKUP(TournamentData[[#This Row],[Team Number]],RobotGameScores[Team Number],RobotGameScores[Robot Game 3 Score],0,0,))</f>
        <v>0</v>
      </c>
      <c r="F155" s="63">
        <f>IF(TournamentData[[#This Row],[Team Number]]="","",_xlfn.XLOOKUP(TournamentData[[#This Row],[Team Number]],RobotGameScores[Team Number],RobotGameScores[Robot Game 4 Score],0,0,))</f>
        <v>0</v>
      </c>
      <c r="G155" s="63">
        <f>IF(TournamentData[[#This Row],[Team Number]]="","",_xlfn.XLOOKUP(TournamentData[[#This Row],[Team Number]],RobotGameScores[Team Number],RobotGameScores[Robot Game 5 Score],0,0,))</f>
        <v>0</v>
      </c>
      <c r="H155"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55" s="63">
        <f>IF(TournamentData[[#This Row],[Team Number]]="","",_xlfn.RANK.EQ(TournamentData[[#This Row],[Max Robot Game Score]],TournamentData[Max Robot Game Score]))</f>
        <v>1</v>
      </c>
      <c r="J155" s="63">
        <f>IF(TournamentData[[#This Row],[Team Number]]="","",_xlfn.XLOOKUP(TournamentData[[#This Row],[Team Number]],CoreValuesResults[Team Number],CoreValuesResults[Core Values Rank],NumberOfTeams+1,0,))</f>
        <v>1</v>
      </c>
      <c r="K155" s="63">
        <f>IF(TournamentData[[#This Row],[Team Number]]="","",_xlfn.XLOOKUP(TournamentData[[#This Row],[Team Number]],InnovationProjectResults[Team Number],InnovationProjectResults[Innovation Project Rank],NumberOfTeams+1,0,))</f>
        <v>1</v>
      </c>
      <c r="L155" s="63">
        <f>IF(TournamentData[[#This Row],[Team Number]]="","",_xlfn.XLOOKUP(TournamentData[[#This Row],[Team Number]],RobotDesignResults[Team Number],RobotDesignResults[Robot Design Rank],NumberOfTeams+1,0,))</f>
        <v>1</v>
      </c>
      <c r="M155"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55" s="64">
        <f>IF(TournamentData[[#This Row],[Team Number]]="","",IF(M155,RANK(M155,M$3:M$202,1)-COUNTIF(M$3:M$202,0),NumberOfTeams+1))</f>
        <v>1</v>
      </c>
      <c r="O155" s="70">
        <f>_xlfn.XLOOKUP(TournamentData[[#This Row],[Team Number]],CoreValuesResults[Team Number],CoreValuesResults[Breakthrough Selection],0,0,)</f>
        <v>0</v>
      </c>
      <c r="P155" s="70">
        <f>_xlfn.XLOOKUP(TournamentData[[#This Row],[Team Number]],CoreValuesResults[Team Number],CoreValuesResults[Rising All-Star Selection],0,0,)</f>
        <v>0</v>
      </c>
      <c r="Q155" s="70">
        <f>_xlfn.XLOOKUP(TournamentData[[#This Row],[Team Number]],CoreValuesResults[Team Number],CoreValuesResults[Motivate Selection],0,0,)</f>
        <v>0</v>
      </c>
      <c r="R155" s="66"/>
      <c r="S155" s="66"/>
      <c r="T155" s="67"/>
      <c r="U155" s="63">
        <f>_xlfn.XLOOKUP(TournamentData[[#This Row],[Team Number]],CoreValuesResults[Team Number],CoreValuesResults[Core Values Score],0,0,)</f>
        <v>0</v>
      </c>
      <c r="V155" s="63">
        <f>_xlfn.XLOOKUP(TournamentData[[#This Row],[Team Number]],InnovationProjectResults[Team Number],InnovationProjectResults[Innovation Project Score],0,0,)</f>
        <v>0</v>
      </c>
      <c r="W155" s="63">
        <f>_xlfn.XLOOKUP(TournamentData[[#This Row],[Team Number]],RobotDesignResults[Team Number],RobotDesignResults[Robot Design Score],0,0,)</f>
        <v>0</v>
      </c>
      <c r="X155"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55" s="71">
        <f t="shared" si="4"/>
        <v>0</v>
      </c>
      <c r="Z155" s="66"/>
    </row>
    <row r="156" spans="1:26" ht="21" customHeight="1" x14ac:dyDescent="0.45">
      <c r="A156">
        <f>_xlfn.XLOOKUP(154,OfficialTeamList[Row],OfficialTeamList[Team Number],"ERROR",0)</f>
        <v>0</v>
      </c>
      <c r="B156" s="62" t="str">
        <f>_xlfn.XLOOKUP(TournamentData[[#This Row],[Team Number]],OfficialTeamList[Team Number],OfficialTeamList[Team Name],"",0,)</f>
        <v/>
      </c>
      <c r="C156" s="63">
        <f>IF(TournamentData[[#This Row],[Team Number]]="","",_xlfn.XLOOKUP(TournamentData[[#This Row],[Team Number]],RobotGameScores[Team Number],RobotGameScores[Robot Game 1 Score],0,0,))</f>
        <v>0</v>
      </c>
      <c r="D156" s="63">
        <f>IF(TournamentData[[#This Row],[Team Number]]="","",_xlfn.XLOOKUP(TournamentData[[#This Row],[Team Number]],RobotGameScores[Team Number],RobotGameScores[Robot Game 2 Score],0,0,))</f>
        <v>0</v>
      </c>
      <c r="E156" s="63">
        <f>IF(TournamentData[[#This Row],[Team Number]]="","",_xlfn.XLOOKUP(TournamentData[[#This Row],[Team Number]],RobotGameScores[Team Number],RobotGameScores[Robot Game 3 Score],0,0,))</f>
        <v>0</v>
      </c>
      <c r="F156" s="63">
        <f>IF(TournamentData[[#This Row],[Team Number]]="","",_xlfn.XLOOKUP(TournamentData[[#This Row],[Team Number]],RobotGameScores[Team Number],RobotGameScores[Robot Game 4 Score],0,0,))</f>
        <v>0</v>
      </c>
      <c r="G156" s="63">
        <f>IF(TournamentData[[#This Row],[Team Number]]="","",_xlfn.XLOOKUP(TournamentData[[#This Row],[Team Number]],RobotGameScores[Team Number],RobotGameScores[Robot Game 5 Score],0,0,))</f>
        <v>0</v>
      </c>
      <c r="H156"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56" s="63">
        <f>IF(TournamentData[[#This Row],[Team Number]]="","",_xlfn.RANK.EQ(TournamentData[[#This Row],[Max Robot Game Score]],TournamentData[Max Robot Game Score]))</f>
        <v>1</v>
      </c>
      <c r="J156" s="63">
        <f>IF(TournamentData[[#This Row],[Team Number]]="","",_xlfn.XLOOKUP(TournamentData[[#This Row],[Team Number]],CoreValuesResults[Team Number],CoreValuesResults[Core Values Rank],NumberOfTeams+1,0,))</f>
        <v>1</v>
      </c>
      <c r="K156" s="63">
        <f>IF(TournamentData[[#This Row],[Team Number]]="","",_xlfn.XLOOKUP(TournamentData[[#This Row],[Team Number]],InnovationProjectResults[Team Number],InnovationProjectResults[Innovation Project Rank],NumberOfTeams+1,0,))</f>
        <v>1</v>
      </c>
      <c r="L156" s="63">
        <f>IF(TournamentData[[#This Row],[Team Number]]="","",_xlfn.XLOOKUP(TournamentData[[#This Row],[Team Number]],RobotDesignResults[Team Number],RobotDesignResults[Robot Design Rank],NumberOfTeams+1,0,))</f>
        <v>1</v>
      </c>
      <c r="M156"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56" s="64">
        <f>IF(TournamentData[[#This Row],[Team Number]]="","",IF(M156,RANK(M156,M$3:M$202,1)-COUNTIF(M$3:M$202,0),NumberOfTeams+1))</f>
        <v>1</v>
      </c>
      <c r="O156" s="70">
        <f>_xlfn.XLOOKUP(TournamentData[[#This Row],[Team Number]],CoreValuesResults[Team Number],CoreValuesResults[Breakthrough Selection],0,0,)</f>
        <v>0</v>
      </c>
      <c r="P156" s="70">
        <f>_xlfn.XLOOKUP(TournamentData[[#This Row],[Team Number]],CoreValuesResults[Team Number],CoreValuesResults[Rising All-Star Selection],0,0,)</f>
        <v>0</v>
      </c>
      <c r="Q156" s="70">
        <f>_xlfn.XLOOKUP(TournamentData[[#This Row],[Team Number]],CoreValuesResults[Team Number],CoreValuesResults[Motivate Selection],0,0,)</f>
        <v>0</v>
      </c>
      <c r="R156" s="66"/>
      <c r="S156" s="66"/>
      <c r="T156" s="67"/>
      <c r="U156" s="63">
        <f>_xlfn.XLOOKUP(TournamentData[[#This Row],[Team Number]],CoreValuesResults[Team Number],CoreValuesResults[Core Values Score],0,0,)</f>
        <v>0</v>
      </c>
      <c r="V156" s="63">
        <f>_xlfn.XLOOKUP(TournamentData[[#This Row],[Team Number]],InnovationProjectResults[Team Number],InnovationProjectResults[Innovation Project Score],0,0,)</f>
        <v>0</v>
      </c>
      <c r="W156" s="63">
        <f>_xlfn.XLOOKUP(TournamentData[[#This Row],[Team Number]],RobotDesignResults[Team Number],RobotDesignResults[Robot Design Score],0,0,)</f>
        <v>0</v>
      </c>
      <c r="X156"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56" s="71">
        <f t="shared" si="4"/>
        <v>0</v>
      </c>
      <c r="Z156" s="66"/>
    </row>
    <row r="157" spans="1:26" ht="21" customHeight="1" x14ac:dyDescent="0.45">
      <c r="A157">
        <f>_xlfn.XLOOKUP(155,OfficialTeamList[Row],OfficialTeamList[Team Number],"ERROR",0)</f>
        <v>0</v>
      </c>
      <c r="B157" s="62" t="str">
        <f>_xlfn.XLOOKUP(TournamentData[[#This Row],[Team Number]],OfficialTeamList[Team Number],OfficialTeamList[Team Name],"",0,)</f>
        <v/>
      </c>
      <c r="C157" s="63">
        <f>IF(TournamentData[[#This Row],[Team Number]]="","",_xlfn.XLOOKUP(TournamentData[[#This Row],[Team Number]],RobotGameScores[Team Number],RobotGameScores[Robot Game 1 Score],0,0,))</f>
        <v>0</v>
      </c>
      <c r="D157" s="63">
        <f>IF(TournamentData[[#This Row],[Team Number]]="","",_xlfn.XLOOKUP(TournamentData[[#This Row],[Team Number]],RobotGameScores[Team Number],RobotGameScores[Robot Game 2 Score],0,0,))</f>
        <v>0</v>
      </c>
      <c r="E157" s="63">
        <f>IF(TournamentData[[#This Row],[Team Number]]="","",_xlfn.XLOOKUP(TournamentData[[#This Row],[Team Number]],RobotGameScores[Team Number],RobotGameScores[Robot Game 3 Score],0,0,))</f>
        <v>0</v>
      </c>
      <c r="F157" s="63">
        <f>IF(TournamentData[[#This Row],[Team Number]]="","",_xlfn.XLOOKUP(TournamentData[[#This Row],[Team Number]],RobotGameScores[Team Number],RobotGameScores[Robot Game 4 Score],0,0,))</f>
        <v>0</v>
      </c>
      <c r="G157" s="63">
        <f>IF(TournamentData[[#This Row],[Team Number]]="","",_xlfn.XLOOKUP(TournamentData[[#This Row],[Team Number]],RobotGameScores[Team Number],RobotGameScores[Robot Game 5 Score],0,0,))</f>
        <v>0</v>
      </c>
      <c r="H157"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57" s="63">
        <f>IF(TournamentData[[#This Row],[Team Number]]="","",_xlfn.RANK.EQ(TournamentData[[#This Row],[Max Robot Game Score]],TournamentData[Max Robot Game Score]))</f>
        <v>1</v>
      </c>
      <c r="J157" s="63">
        <f>IF(TournamentData[[#This Row],[Team Number]]="","",_xlfn.XLOOKUP(TournamentData[[#This Row],[Team Number]],CoreValuesResults[Team Number],CoreValuesResults[Core Values Rank],NumberOfTeams+1,0,))</f>
        <v>1</v>
      </c>
      <c r="K157" s="63">
        <f>IF(TournamentData[[#This Row],[Team Number]]="","",_xlfn.XLOOKUP(TournamentData[[#This Row],[Team Number]],InnovationProjectResults[Team Number],InnovationProjectResults[Innovation Project Rank],NumberOfTeams+1,0,))</f>
        <v>1</v>
      </c>
      <c r="L157" s="63">
        <f>IF(TournamentData[[#This Row],[Team Number]]="","",_xlfn.XLOOKUP(TournamentData[[#This Row],[Team Number]],RobotDesignResults[Team Number],RobotDesignResults[Robot Design Rank],NumberOfTeams+1,0,))</f>
        <v>1</v>
      </c>
      <c r="M157"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57" s="64">
        <f>IF(TournamentData[[#This Row],[Team Number]]="","",IF(M157,RANK(M157,M$3:M$202,1)-COUNTIF(M$3:M$202,0),NumberOfTeams+1))</f>
        <v>1</v>
      </c>
      <c r="O157" s="70">
        <f>_xlfn.XLOOKUP(TournamentData[[#This Row],[Team Number]],CoreValuesResults[Team Number],CoreValuesResults[Breakthrough Selection],0,0,)</f>
        <v>0</v>
      </c>
      <c r="P157" s="70">
        <f>_xlfn.XLOOKUP(TournamentData[[#This Row],[Team Number]],CoreValuesResults[Team Number],CoreValuesResults[Rising All-Star Selection],0,0,)</f>
        <v>0</v>
      </c>
      <c r="Q157" s="70">
        <f>_xlfn.XLOOKUP(TournamentData[[#This Row],[Team Number]],CoreValuesResults[Team Number],CoreValuesResults[Motivate Selection],0,0,)</f>
        <v>0</v>
      </c>
      <c r="R157" s="66"/>
      <c r="S157" s="66"/>
      <c r="T157" s="67"/>
      <c r="U157" s="63">
        <f>_xlfn.XLOOKUP(TournamentData[[#This Row],[Team Number]],CoreValuesResults[Team Number],CoreValuesResults[Core Values Score],0,0,)</f>
        <v>0</v>
      </c>
      <c r="V157" s="63">
        <f>_xlfn.XLOOKUP(TournamentData[[#This Row],[Team Number]],InnovationProjectResults[Team Number],InnovationProjectResults[Innovation Project Score],0,0,)</f>
        <v>0</v>
      </c>
      <c r="W157" s="63">
        <f>_xlfn.XLOOKUP(TournamentData[[#This Row],[Team Number]],RobotDesignResults[Team Number],RobotDesignResults[Robot Design Score],0,0,)</f>
        <v>0</v>
      </c>
      <c r="X157"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57" s="71">
        <f t="shared" si="4"/>
        <v>0</v>
      </c>
      <c r="Z157" s="66"/>
    </row>
    <row r="158" spans="1:26" ht="21" customHeight="1" x14ac:dyDescent="0.45">
      <c r="A158">
        <f>_xlfn.XLOOKUP(156,OfficialTeamList[Row],OfficialTeamList[Team Number],"ERROR",0)</f>
        <v>0</v>
      </c>
      <c r="B158" s="62" t="str">
        <f>_xlfn.XLOOKUP(TournamentData[[#This Row],[Team Number]],OfficialTeamList[Team Number],OfficialTeamList[Team Name],"",0,)</f>
        <v/>
      </c>
      <c r="C158" s="63">
        <f>IF(TournamentData[[#This Row],[Team Number]]="","",_xlfn.XLOOKUP(TournamentData[[#This Row],[Team Number]],RobotGameScores[Team Number],RobotGameScores[Robot Game 1 Score],0,0,))</f>
        <v>0</v>
      </c>
      <c r="D158" s="63">
        <f>IF(TournamentData[[#This Row],[Team Number]]="","",_xlfn.XLOOKUP(TournamentData[[#This Row],[Team Number]],RobotGameScores[Team Number],RobotGameScores[Robot Game 2 Score],0,0,))</f>
        <v>0</v>
      </c>
      <c r="E158" s="63">
        <f>IF(TournamentData[[#This Row],[Team Number]]="","",_xlfn.XLOOKUP(TournamentData[[#This Row],[Team Number]],RobotGameScores[Team Number],RobotGameScores[Robot Game 3 Score],0,0,))</f>
        <v>0</v>
      </c>
      <c r="F158" s="63">
        <f>IF(TournamentData[[#This Row],[Team Number]]="","",_xlfn.XLOOKUP(TournamentData[[#This Row],[Team Number]],RobotGameScores[Team Number],RobotGameScores[Robot Game 4 Score],0,0,))</f>
        <v>0</v>
      </c>
      <c r="G158" s="63">
        <f>IF(TournamentData[[#This Row],[Team Number]]="","",_xlfn.XLOOKUP(TournamentData[[#This Row],[Team Number]],RobotGameScores[Team Number],RobotGameScores[Robot Game 5 Score],0,0,))</f>
        <v>0</v>
      </c>
      <c r="H158"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58" s="63">
        <f>IF(TournamentData[[#This Row],[Team Number]]="","",_xlfn.RANK.EQ(TournamentData[[#This Row],[Max Robot Game Score]],TournamentData[Max Robot Game Score]))</f>
        <v>1</v>
      </c>
      <c r="J158" s="63">
        <f>IF(TournamentData[[#This Row],[Team Number]]="","",_xlfn.XLOOKUP(TournamentData[[#This Row],[Team Number]],CoreValuesResults[Team Number],CoreValuesResults[Core Values Rank],NumberOfTeams+1,0,))</f>
        <v>1</v>
      </c>
      <c r="K158" s="63">
        <f>IF(TournamentData[[#This Row],[Team Number]]="","",_xlfn.XLOOKUP(TournamentData[[#This Row],[Team Number]],InnovationProjectResults[Team Number],InnovationProjectResults[Innovation Project Rank],NumberOfTeams+1,0,))</f>
        <v>1</v>
      </c>
      <c r="L158" s="63">
        <f>IF(TournamentData[[#This Row],[Team Number]]="","",_xlfn.XLOOKUP(TournamentData[[#This Row],[Team Number]],RobotDesignResults[Team Number],RobotDesignResults[Robot Design Rank],NumberOfTeams+1,0,))</f>
        <v>1</v>
      </c>
      <c r="M158"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58" s="64">
        <f>IF(TournamentData[[#This Row],[Team Number]]="","",IF(M158,RANK(M158,M$3:M$202,1)-COUNTIF(M$3:M$202,0),NumberOfTeams+1))</f>
        <v>1</v>
      </c>
      <c r="O158" s="70">
        <f>_xlfn.XLOOKUP(TournamentData[[#This Row],[Team Number]],CoreValuesResults[Team Number],CoreValuesResults[Breakthrough Selection],0,0,)</f>
        <v>0</v>
      </c>
      <c r="P158" s="70">
        <f>_xlfn.XLOOKUP(TournamentData[[#This Row],[Team Number]],CoreValuesResults[Team Number],CoreValuesResults[Rising All-Star Selection],0,0,)</f>
        <v>0</v>
      </c>
      <c r="Q158" s="70">
        <f>_xlfn.XLOOKUP(TournamentData[[#This Row],[Team Number]],CoreValuesResults[Team Number],CoreValuesResults[Motivate Selection],0,0,)</f>
        <v>0</v>
      </c>
      <c r="R158" s="66"/>
      <c r="S158" s="66"/>
      <c r="T158" s="67"/>
      <c r="U158" s="63">
        <f>_xlfn.XLOOKUP(TournamentData[[#This Row],[Team Number]],CoreValuesResults[Team Number],CoreValuesResults[Core Values Score],0,0,)</f>
        <v>0</v>
      </c>
      <c r="V158" s="63">
        <f>_xlfn.XLOOKUP(TournamentData[[#This Row],[Team Number]],InnovationProjectResults[Team Number],InnovationProjectResults[Innovation Project Score],0,0,)</f>
        <v>0</v>
      </c>
      <c r="W158" s="63">
        <f>_xlfn.XLOOKUP(TournamentData[[#This Row],[Team Number]],RobotDesignResults[Team Number],RobotDesignResults[Robot Design Score],0,0,)</f>
        <v>0</v>
      </c>
      <c r="X158"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58" s="71">
        <f t="shared" si="4"/>
        <v>0</v>
      </c>
      <c r="Z158" s="66"/>
    </row>
    <row r="159" spans="1:26" ht="21" customHeight="1" x14ac:dyDescent="0.45">
      <c r="A159">
        <f>_xlfn.XLOOKUP(157,OfficialTeamList[Row],OfficialTeamList[Team Number],"ERROR",0)</f>
        <v>0</v>
      </c>
      <c r="B159" s="62" t="str">
        <f>_xlfn.XLOOKUP(TournamentData[[#This Row],[Team Number]],OfficialTeamList[Team Number],OfficialTeamList[Team Name],"",0,)</f>
        <v/>
      </c>
      <c r="C159" s="63">
        <f>IF(TournamentData[[#This Row],[Team Number]]="","",_xlfn.XLOOKUP(TournamentData[[#This Row],[Team Number]],RobotGameScores[Team Number],RobotGameScores[Robot Game 1 Score],0,0,))</f>
        <v>0</v>
      </c>
      <c r="D159" s="63">
        <f>IF(TournamentData[[#This Row],[Team Number]]="","",_xlfn.XLOOKUP(TournamentData[[#This Row],[Team Number]],RobotGameScores[Team Number],RobotGameScores[Robot Game 2 Score],0,0,))</f>
        <v>0</v>
      </c>
      <c r="E159" s="63">
        <f>IF(TournamentData[[#This Row],[Team Number]]="","",_xlfn.XLOOKUP(TournamentData[[#This Row],[Team Number]],RobotGameScores[Team Number],RobotGameScores[Robot Game 3 Score],0,0,))</f>
        <v>0</v>
      </c>
      <c r="F159" s="63">
        <f>IF(TournamentData[[#This Row],[Team Number]]="","",_xlfn.XLOOKUP(TournamentData[[#This Row],[Team Number]],RobotGameScores[Team Number],RobotGameScores[Robot Game 4 Score],0,0,))</f>
        <v>0</v>
      </c>
      <c r="G159" s="63">
        <f>IF(TournamentData[[#This Row],[Team Number]]="","",_xlfn.XLOOKUP(TournamentData[[#This Row],[Team Number]],RobotGameScores[Team Number],RobotGameScores[Robot Game 5 Score],0,0,))</f>
        <v>0</v>
      </c>
      <c r="H159"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59" s="63">
        <f>IF(TournamentData[[#This Row],[Team Number]]="","",_xlfn.RANK.EQ(TournamentData[[#This Row],[Max Robot Game Score]],TournamentData[Max Robot Game Score]))</f>
        <v>1</v>
      </c>
      <c r="J159" s="63">
        <f>IF(TournamentData[[#This Row],[Team Number]]="","",_xlfn.XLOOKUP(TournamentData[[#This Row],[Team Number]],CoreValuesResults[Team Number],CoreValuesResults[Core Values Rank],NumberOfTeams+1,0,))</f>
        <v>1</v>
      </c>
      <c r="K159" s="63">
        <f>IF(TournamentData[[#This Row],[Team Number]]="","",_xlfn.XLOOKUP(TournamentData[[#This Row],[Team Number]],InnovationProjectResults[Team Number],InnovationProjectResults[Innovation Project Rank],NumberOfTeams+1,0,))</f>
        <v>1</v>
      </c>
      <c r="L159" s="63">
        <f>IF(TournamentData[[#This Row],[Team Number]]="","",_xlfn.XLOOKUP(TournamentData[[#This Row],[Team Number]],RobotDesignResults[Team Number],RobotDesignResults[Robot Design Rank],NumberOfTeams+1,0,))</f>
        <v>1</v>
      </c>
      <c r="M159"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59" s="64">
        <f>IF(TournamentData[[#This Row],[Team Number]]="","",IF(M159,RANK(M159,M$3:M$202,1)-COUNTIF(M$3:M$202,0),NumberOfTeams+1))</f>
        <v>1</v>
      </c>
      <c r="O159" s="70">
        <f>_xlfn.XLOOKUP(TournamentData[[#This Row],[Team Number]],CoreValuesResults[Team Number],CoreValuesResults[Breakthrough Selection],0,0,)</f>
        <v>0</v>
      </c>
      <c r="P159" s="70">
        <f>_xlfn.XLOOKUP(TournamentData[[#This Row],[Team Number]],CoreValuesResults[Team Number],CoreValuesResults[Rising All-Star Selection],0,0,)</f>
        <v>0</v>
      </c>
      <c r="Q159" s="70">
        <f>_xlfn.XLOOKUP(TournamentData[[#This Row],[Team Number]],CoreValuesResults[Team Number],CoreValuesResults[Motivate Selection],0,0,)</f>
        <v>0</v>
      </c>
      <c r="R159" s="66"/>
      <c r="S159" s="66"/>
      <c r="T159" s="67"/>
      <c r="U159" s="63">
        <f>_xlfn.XLOOKUP(TournamentData[[#This Row],[Team Number]],CoreValuesResults[Team Number],CoreValuesResults[Core Values Score],0,0,)</f>
        <v>0</v>
      </c>
      <c r="V159" s="63">
        <f>_xlfn.XLOOKUP(TournamentData[[#This Row],[Team Number]],InnovationProjectResults[Team Number],InnovationProjectResults[Innovation Project Score],0,0,)</f>
        <v>0</v>
      </c>
      <c r="W159" s="63">
        <f>_xlfn.XLOOKUP(TournamentData[[#This Row],[Team Number]],RobotDesignResults[Team Number],RobotDesignResults[Robot Design Score],0,0,)</f>
        <v>0</v>
      </c>
      <c r="X159"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59" s="71">
        <f t="shared" si="4"/>
        <v>0</v>
      </c>
      <c r="Z159" s="66"/>
    </row>
    <row r="160" spans="1:26" ht="21" customHeight="1" x14ac:dyDescent="0.45">
      <c r="A160">
        <f>_xlfn.XLOOKUP(158,OfficialTeamList[Row],OfficialTeamList[Team Number],"ERROR",0)</f>
        <v>0</v>
      </c>
      <c r="B160" s="62" t="str">
        <f>_xlfn.XLOOKUP(TournamentData[[#This Row],[Team Number]],OfficialTeamList[Team Number],OfficialTeamList[Team Name],"",0,)</f>
        <v/>
      </c>
      <c r="C160" s="63">
        <f>IF(TournamentData[[#This Row],[Team Number]]="","",_xlfn.XLOOKUP(TournamentData[[#This Row],[Team Number]],RobotGameScores[Team Number],RobotGameScores[Robot Game 1 Score],0,0,))</f>
        <v>0</v>
      </c>
      <c r="D160" s="63">
        <f>IF(TournamentData[[#This Row],[Team Number]]="","",_xlfn.XLOOKUP(TournamentData[[#This Row],[Team Number]],RobotGameScores[Team Number],RobotGameScores[Robot Game 2 Score],0,0,))</f>
        <v>0</v>
      </c>
      <c r="E160" s="63">
        <f>IF(TournamentData[[#This Row],[Team Number]]="","",_xlfn.XLOOKUP(TournamentData[[#This Row],[Team Number]],RobotGameScores[Team Number],RobotGameScores[Robot Game 3 Score],0,0,))</f>
        <v>0</v>
      </c>
      <c r="F160" s="63">
        <f>IF(TournamentData[[#This Row],[Team Number]]="","",_xlfn.XLOOKUP(TournamentData[[#This Row],[Team Number]],RobotGameScores[Team Number],RobotGameScores[Robot Game 4 Score],0,0,))</f>
        <v>0</v>
      </c>
      <c r="G160" s="63">
        <f>IF(TournamentData[[#This Row],[Team Number]]="","",_xlfn.XLOOKUP(TournamentData[[#This Row],[Team Number]],RobotGameScores[Team Number],RobotGameScores[Robot Game 5 Score],0,0,))</f>
        <v>0</v>
      </c>
      <c r="H160"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60" s="63">
        <f>IF(TournamentData[[#This Row],[Team Number]]="","",_xlfn.RANK.EQ(TournamentData[[#This Row],[Max Robot Game Score]],TournamentData[Max Robot Game Score]))</f>
        <v>1</v>
      </c>
      <c r="J160" s="63">
        <f>IF(TournamentData[[#This Row],[Team Number]]="","",_xlfn.XLOOKUP(TournamentData[[#This Row],[Team Number]],CoreValuesResults[Team Number],CoreValuesResults[Core Values Rank],NumberOfTeams+1,0,))</f>
        <v>1</v>
      </c>
      <c r="K160" s="63">
        <f>IF(TournamentData[[#This Row],[Team Number]]="","",_xlfn.XLOOKUP(TournamentData[[#This Row],[Team Number]],InnovationProjectResults[Team Number],InnovationProjectResults[Innovation Project Rank],NumberOfTeams+1,0,))</f>
        <v>1</v>
      </c>
      <c r="L160" s="63">
        <f>IF(TournamentData[[#This Row],[Team Number]]="","",_xlfn.XLOOKUP(TournamentData[[#This Row],[Team Number]],RobotDesignResults[Team Number],RobotDesignResults[Robot Design Rank],NumberOfTeams+1,0,))</f>
        <v>1</v>
      </c>
      <c r="M160"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60" s="64">
        <f>IF(TournamentData[[#This Row],[Team Number]]="","",IF(M160,RANK(M160,M$3:M$202,1)-COUNTIF(M$3:M$202,0),NumberOfTeams+1))</f>
        <v>1</v>
      </c>
      <c r="O160" s="70">
        <f>_xlfn.XLOOKUP(TournamentData[[#This Row],[Team Number]],CoreValuesResults[Team Number],CoreValuesResults[Breakthrough Selection],0,0,)</f>
        <v>0</v>
      </c>
      <c r="P160" s="70">
        <f>_xlfn.XLOOKUP(TournamentData[[#This Row],[Team Number]],CoreValuesResults[Team Number],CoreValuesResults[Rising All-Star Selection],0,0,)</f>
        <v>0</v>
      </c>
      <c r="Q160" s="70">
        <f>_xlfn.XLOOKUP(TournamentData[[#This Row],[Team Number]],CoreValuesResults[Team Number],CoreValuesResults[Motivate Selection],0,0,)</f>
        <v>0</v>
      </c>
      <c r="R160" s="66"/>
      <c r="S160" s="66"/>
      <c r="T160" s="67"/>
      <c r="U160" s="63">
        <f>_xlfn.XLOOKUP(TournamentData[[#This Row],[Team Number]],CoreValuesResults[Team Number],CoreValuesResults[Core Values Score],0,0,)</f>
        <v>0</v>
      </c>
      <c r="V160" s="63">
        <f>_xlfn.XLOOKUP(TournamentData[[#This Row],[Team Number]],InnovationProjectResults[Team Number],InnovationProjectResults[Innovation Project Score],0,0,)</f>
        <v>0</v>
      </c>
      <c r="W160" s="63">
        <f>_xlfn.XLOOKUP(TournamentData[[#This Row],[Team Number]],RobotDesignResults[Team Number],RobotDesignResults[Robot Design Score],0,0,)</f>
        <v>0</v>
      </c>
      <c r="X160"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60" s="71">
        <f t="shared" si="4"/>
        <v>0</v>
      </c>
      <c r="Z160" s="66"/>
    </row>
    <row r="161" spans="1:26" ht="21" customHeight="1" x14ac:dyDescent="0.45">
      <c r="A161">
        <f>_xlfn.XLOOKUP(159,OfficialTeamList[Row],OfficialTeamList[Team Number],"ERROR",0)</f>
        <v>0</v>
      </c>
      <c r="B161" s="62" t="str">
        <f>_xlfn.XLOOKUP(TournamentData[[#This Row],[Team Number]],OfficialTeamList[Team Number],OfficialTeamList[Team Name],"",0,)</f>
        <v/>
      </c>
      <c r="C161" s="63">
        <f>IF(TournamentData[[#This Row],[Team Number]]="","",_xlfn.XLOOKUP(TournamentData[[#This Row],[Team Number]],RobotGameScores[Team Number],RobotGameScores[Robot Game 1 Score],0,0,))</f>
        <v>0</v>
      </c>
      <c r="D161" s="63">
        <f>IF(TournamentData[[#This Row],[Team Number]]="","",_xlfn.XLOOKUP(TournamentData[[#This Row],[Team Number]],RobotGameScores[Team Number],RobotGameScores[Robot Game 2 Score],0,0,))</f>
        <v>0</v>
      </c>
      <c r="E161" s="63">
        <f>IF(TournamentData[[#This Row],[Team Number]]="","",_xlfn.XLOOKUP(TournamentData[[#This Row],[Team Number]],RobotGameScores[Team Number],RobotGameScores[Robot Game 3 Score],0,0,))</f>
        <v>0</v>
      </c>
      <c r="F161" s="63">
        <f>IF(TournamentData[[#This Row],[Team Number]]="","",_xlfn.XLOOKUP(TournamentData[[#This Row],[Team Number]],RobotGameScores[Team Number],RobotGameScores[Robot Game 4 Score],0,0,))</f>
        <v>0</v>
      </c>
      <c r="G161" s="63">
        <f>IF(TournamentData[[#This Row],[Team Number]]="","",_xlfn.XLOOKUP(TournamentData[[#This Row],[Team Number]],RobotGameScores[Team Number],RobotGameScores[Robot Game 5 Score],0,0,))</f>
        <v>0</v>
      </c>
      <c r="H161"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61" s="63">
        <f>IF(TournamentData[[#This Row],[Team Number]]="","",_xlfn.RANK.EQ(TournamentData[[#This Row],[Max Robot Game Score]],TournamentData[Max Robot Game Score]))</f>
        <v>1</v>
      </c>
      <c r="J161" s="63">
        <f>IF(TournamentData[[#This Row],[Team Number]]="","",_xlfn.XLOOKUP(TournamentData[[#This Row],[Team Number]],CoreValuesResults[Team Number],CoreValuesResults[Core Values Rank],NumberOfTeams+1,0,))</f>
        <v>1</v>
      </c>
      <c r="K161" s="63">
        <f>IF(TournamentData[[#This Row],[Team Number]]="","",_xlfn.XLOOKUP(TournamentData[[#This Row],[Team Number]],InnovationProjectResults[Team Number],InnovationProjectResults[Innovation Project Rank],NumberOfTeams+1,0,))</f>
        <v>1</v>
      </c>
      <c r="L161" s="63">
        <f>IF(TournamentData[[#This Row],[Team Number]]="","",_xlfn.XLOOKUP(TournamentData[[#This Row],[Team Number]],RobotDesignResults[Team Number],RobotDesignResults[Robot Design Rank],NumberOfTeams+1,0,))</f>
        <v>1</v>
      </c>
      <c r="M161"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61" s="64">
        <f>IF(TournamentData[[#This Row],[Team Number]]="","",IF(M161,RANK(M161,M$3:M$202,1)-COUNTIF(M$3:M$202,0),NumberOfTeams+1))</f>
        <v>1</v>
      </c>
      <c r="O161" s="70">
        <f>_xlfn.XLOOKUP(TournamentData[[#This Row],[Team Number]],CoreValuesResults[Team Number],CoreValuesResults[Breakthrough Selection],0,0,)</f>
        <v>0</v>
      </c>
      <c r="P161" s="70">
        <f>_xlfn.XLOOKUP(TournamentData[[#This Row],[Team Number]],CoreValuesResults[Team Number],CoreValuesResults[Rising All-Star Selection],0,0,)</f>
        <v>0</v>
      </c>
      <c r="Q161" s="70">
        <f>_xlfn.XLOOKUP(TournamentData[[#This Row],[Team Number]],CoreValuesResults[Team Number],CoreValuesResults[Motivate Selection],0,0,)</f>
        <v>0</v>
      </c>
      <c r="R161" s="66"/>
      <c r="S161" s="66"/>
      <c r="T161" s="67"/>
      <c r="U161" s="63">
        <f>_xlfn.XLOOKUP(TournamentData[[#This Row],[Team Number]],CoreValuesResults[Team Number],CoreValuesResults[Core Values Score],0,0,)</f>
        <v>0</v>
      </c>
      <c r="V161" s="63">
        <f>_xlfn.XLOOKUP(TournamentData[[#This Row],[Team Number]],InnovationProjectResults[Team Number],InnovationProjectResults[Innovation Project Score],0,0,)</f>
        <v>0</v>
      </c>
      <c r="W161" s="63">
        <f>_xlfn.XLOOKUP(TournamentData[[#This Row],[Team Number]],RobotDesignResults[Team Number],RobotDesignResults[Robot Design Score],0,0,)</f>
        <v>0</v>
      </c>
      <c r="X161"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61" s="71">
        <f t="shared" si="4"/>
        <v>0</v>
      </c>
      <c r="Z161" s="66"/>
    </row>
    <row r="162" spans="1:26" ht="21" customHeight="1" x14ac:dyDescent="0.45">
      <c r="A162">
        <f>_xlfn.XLOOKUP(160,OfficialTeamList[Row],OfficialTeamList[Team Number],"ERROR",0)</f>
        <v>0</v>
      </c>
      <c r="B162" s="62" t="str">
        <f>_xlfn.XLOOKUP(TournamentData[[#This Row],[Team Number]],OfficialTeamList[Team Number],OfficialTeamList[Team Name],"",0,)</f>
        <v/>
      </c>
      <c r="C162" s="63">
        <f>IF(TournamentData[[#This Row],[Team Number]]="","",_xlfn.XLOOKUP(TournamentData[[#This Row],[Team Number]],RobotGameScores[Team Number],RobotGameScores[Robot Game 1 Score],0,0,))</f>
        <v>0</v>
      </c>
      <c r="D162" s="63">
        <f>IF(TournamentData[[#This Row],[Team Number]]="","",_xlfn.XLOOKUP(TournamentData[[#This Row],[Team Number]],RobotGameScores[Team Number],RobotGameScores[Robot Game 2 Score],0,0,))</f>
        <v>0</v>
      </c>
      <c r="E162" s="63">
        <f>IF(TournamentData[[#This Row],[Team Number]]="","",_xlfn.XLOOKUP(TournamentData[[#This Row],[Team Number]],RobotGameScores[Team Number],RobotGameScores[Robot Game 3 Score],0,0,))</f>
        <v>0</v>
      </c>
      <c r="F162" s="63">
        <f>IF(TournamentData[[#This Row],[Team Number]]="","",_xlfn.XLOOKUP(TournamentData[[#This Row],[Team Number]],RobotGameScores[Team Number],RobotGameScores[Robot Game 4 Score],0,0,))</f>
        <v>0</v>
      </c>
      <c r="G162" s="63">
        <f>IF(TournamentData[[#This Row],[Team Number]]="","",_xlfn.XLOOKUP(TournamentData[[#This Row],[Team Number]],RobotGameScores[Team Number],RobotGameScores[Robot Game 5 Score],0,0,))</f>
        <v>0</v>
      </c>
      <c r="H162"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62" s="63">
        <f>IF(TournamentData[[#This Row],[Team Number]]="","",_xlfn.RANK.EQ(TournamentData[[#This Row],[Max Robot Game Score]],TournamentData[Max Robot Game Score]))</f>
        <v>1</v>
      </c>
      <c r="J162" s="63">
        <f>IF(TournamentData[[#This Row],[Team Number]]="","",_xlfn.XLOOKUP(TournamentData[[#This Row],[Team Number]],CoreValuesResults[Team Number],CoreValuesResults[Core Values Rank],NumberOfTeams+1,0,))</f>
        <v>1</v>
      </c>
      <c r="K162" s="63">
        <f>IF(TournamentData[[#This Row],[Team Number]]="","",_xlfn.XLOOKUP(TournamentData[[#This Row],[Team Number]],InnovationProjectResults[Team Number],InnovationProjectResults[Innovation Project Rank],NumberOfTeams+1,0,))</f>
        <v>1</v>
      </c>
      <c r="L162" s="63">
        <f>IF(TournamentData[[#This Row],[Team Number]]="","",_xlfn.XLOOKUP(TournamentData[[#This Row],[Team Number]],RobotDesignResults[Team Number],RobotDesignResults[Robot Design Rank],NumberOfTeams+1,0,))</f>
        <v>1</v>
      </c>
      <c r="M162"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62" s="64">
        <f>IF(TournamentData[[#This Row],[Team Number]]="","",IF(M162,RANK(M162,M$3:M$202,1)-COUNTIF(M$3:M$202,0),NumberOfTeams+1))</f>
        <v>1</v>
      </c>
      <c r="O162" s="70">
        <f>_xlfn.XLOOKUP(TournamentData[[#This Row],[Team Number]],CoreValuesResults[Team Number],CoreValuesResults[Breakthrough Selection],0,0,)</f>
        <v>0</v>
      </c>
      <c r="P162" s="70">
        <f>_xlfn.XLOOKUP(TournamentData[[#This Row],[Team Number]],CoreValuesResults[Team Number],CoreValuesResults[Rising All-Star Selection],0,0,)</f>
        <v>0</v>
      </c>
      <c r="Q162" s="70">
        <f>_xlfn.XLOOKUP(TournamentData[[#This Row],[Team Number]],CoreValuesResults[Team Number],CoreValuesResults[Motivate Selection],0,0,)</f>
        <v>0</v>
      </c>
      <c r="R162" s="66"/>
      <c r="S162" s="66"/>
      <c r="T162" s="67"/>
      <c r="U162" s="63">
        <f>_xlfn.XLOOKUP(TournamentData[[#This Row],[Team Number]],CoreValuesResults[Team Number],CoreValuesResults[Core Values Score],0,0,)</f>
        <v>0</v>
      </c>
      <c r="V162" s="63">
        <f>_xlfn.XLOOKUP(TournamentData[[#This Row],[Team Number]],InnovationProjectResults[Team Number],InnovationProjectResults[Innovation Project Score],0,0,)</f>
        <v>0</v>
      </c>
      <c r="W162" s="63">
        <f>_xlfn.XLOOKUP(TournamentData[[#This Row],[Team Number]],RobotDesignResults[Team Number],RobotDesignResults[Robot Design Score],0,0,)</f>
        <v>0</v>
      </c>
      <c r="X162"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62" s="71">
        <f t="shared" si="4"/>
        <v>0</v>
      </c>
      <c r="Z162" s="66"/>
    </row>
    <row r="163" spans="1:26" ht="21" customHeight="1" x14ac:dyDescent="0.45">
      <c r="A163">
        <f>_xlfn.XLOOKUP(161,OfficialTeamList[Row],OfficialTeamList[Team Number],"ERROR",0)</f>
        <v>0</v>
      </c>
      <c r="B163" s="62" t="str">
        <f>_xlfn.XLOOKUP(TournamentData[[#This Row],[Team Number]],OfficialTeamList[Team Number],OfficialTeamList[Team Name],"",0,)</f>
        <v/>
      </c>
      <c r="C163" s="63">
        <f>IF(TournamentData[[#This Row],[Team Number]]="","",_xlfn.XLOOKUP(TournamentData[[#This Row],[Team Number]],RobotGameScores[Team Number],RobotGameScores[Robot Game 1 Score],0,0,))</f>
        <v>0</v>
      </c>
      <c r="D163" s="63">
        <f>IF(TournamentData[[#This Row],[Team Number]]="","",_xlfn.XLOOKUP(TournamentData[[#This Row],[Team Number]],RobotGameScores[Team Number],RobotGameScores[Robot Game 2 Score],0,0,))</f>
        <v>0</v>
      </c>
      <c r="E163" s="63">
        <f>IF(TournamentData[[#This Row],[Team Number]]="","",_xlfn.XLOOKUP(TournamentData[[#This Row],[Team Number]],RobotGameScores[Team Number],RobotGameScores[Robot Game 3 Score],0,0,))</f>
        <v>0</v>
      </c>
      <c r="F163" s="63">
        <f>IF(TournamentData[[#This Row],[Team Number]]="","",_xlfn.XLOOKUP(TournamentData[[#This Row],[Team Number]],RobotGameScores[Team Number],RobotGameScores[Robot Game 4 Score],0,0,))</f>
        <v>0</v>
      </c>
      <c r="G163" s="63">
        <f>IF(TournamentData[[#This Row],[Team Number]]="","",_xlfn.XLOOKUP(TournamentData[[#This Row],[Team Number]],RobotGameScores[Team Number],RobotGameScores[Robot Game 5 Score],0,0,))</f>
        <v>0</v>
      </c>
      <c r="H163"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63" s="63">
        <f>IF(TournamentData[[#This Row],[Team Number]]="","",_xlfn.RANK.EQ(TournamentData[[#This Row],[Max Robot Game Score]],TournamentData[Max Robot Game Score]))</f>
        <v>1</v>
      </c>
      <c r="J163" s="63">
        <f>IF(TournamentData[[#This Row],[Team Number]]="","",_xlfn.XLOOKUP(TournamentData[[#This Row],[Team Number]],CoreValuesResults[Team Number],CoreValuesResults[Core Values Rank],NumberOfTeams+1,0,))</f>
        <v>1</v>
      </c>
      <c r="K163" s="63">
        <f>IF(TournamentData[[#This Row],[Team Number]]="","",_xlfn.XLOOKUP(TournamentData[[#This Row],[Team Number]],InnovationProjectResults[Team Number],InnovationProjectResults[Innovation Project Rank],NumberOfTeams+1,0,))</f>
        <v>1</v>
      </c>
      <c r="L163" s="63">
        <f>IF(TournamentData[[#This Row],[Team Number]]="","",_xlfn.XLOOKUP(TournamentData[[#This Row],[Team Number]],RobotDesignResults[Team Number],RobotDesignResults[Robot Design Rank],NumberOfTeams+1,0,))</f>
        <v>1</v>
      </c>
      <c r="M163"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63" s="64">
        <f>IF(TournamentData[[#This Row],[Team Number]]="","",IF(M163,RANK(M163,M$3:M$202,1)-COUNTIF(M$3:M$202,0),NumberOfTeams+1))</f>
        <v>1</v>
      </c>
      <c r="O163" s="70">
        <f>_xlfn.XLOOKUP(TournamentData[[#This Row],[Team Number]],CoreValuesResults[Team Number],CoreValuesResults[Breakthrough Selection],0,0,)</f>
        <v>0</v>
      </c>
      <c r="P163" s="70">
        <f>_xlfn.XLOOKUP(TournamentData[[#This Row],[Team Number]],CoreValuesResults[Team Number],CoreValuesResults[Rising All-Star Selection],0,0,)</f>
        <v>0</v>
      </c>
      <c r="Q163" s="70">
        <f>_xlfn.XLOOKUP(TournamentData[[#This Row],[Team Number]],CoreValuesResults[Team Number],CoreValuesResults[Motivate Selection],0,0,)</f>
        <v>0</v>
      </c>
      <c r="R163" s="66"/>
      <c r="S163" s="66"/>
      <c r="T163" s="67"/>
      <c r="U163" s="63">
        <f>_xlfn.XLOOKUP(TournamentData[[#This Row],[Team Number]],CoreValuesResults[Team Number],CoreValuesResults[Core Values Score],0,0,)</f>
        <v>0</v>
      </c>
      <c r="V163" s="63">
        <f>_xlfn.XLOOKUP(TournamentData[[#This Row],[Team Number]],InnovationProjectResults[Team Number],InnovationProjectResults[Innovation Project Score],0,0,)</f>
        <v>0</v>
      </c>
      <c r="W163" s="63">
        <f>_xlfn.XLOOKUP(TournamentData[[#This Row],[Team Number]],RobotDesignResults[Team Number],RobotDesignResults[Robot Design Score],0,0,)</f>
        <v>0</v>
      </c>
      <c r="X163"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63" s="71">
        <f t="shared" ref="Y163:Y194" si="5">IF(X163,_xlfn.RANK.EQ(X163,X$3:X$110,0),NumberOfTeams)</f>
        <v>0</v>
      </c>
      <c r="Z163" s="66"/>
    </row>
    <row r="164" spans="1:26" ht="21" customHeight="1" x14ac:dyDescent="0.45">
      <c r="A164">
        <f>_xlfn.XLOOKUP(162,OfficialTeamList[Row],OfficialTeamList[Team Number],"ERROR",0)</f>
        <v>0</v>
      </c>
      <c r="B164" s="62" t="str">
        <f>_xlfn.XLOOKUP(TournamentData[[#This Row],[Team Number]],OfficialTeamList[Team Number],OfficialTeamList[Team Name],"",0,)</f>
        <v/>
      </c>
      <c r="C164" s="63">
        <f>IF(TournamentData[[#This Row],[Team Number]]="","",_xlfn.XLOOKUP(TournamentData[[#This Row],[Team Number]],RobotGameScores[Team Number],RobotGameScores[Robot Game 1 Score],0,0,))</f>
        <v>0</v>
      </c>
      <c r="D164" s="63">
        <f>IF(TournamentData[[#This Row],[Team Number]]="","",_xlfn.XLOOKUP(TournamentData[[#This Row],[Team Number]],RobotGameScores[Team Number],RobotGameScores[Robot Game 2 Score],0,0,))</f>
        <v>0</v>
      </c>
      <c r="E164" s="63">
        <f>IF(TournamentData[[#This Row],[Team Number]]="","",_xlfn.XLOOKUP(TournamentData[[#This Row],[Team Number]],RobotGameScores[Team Number],RobotGameScores[Robot Game 3 Score],0,0,))</f>
        <v>0</v>
      </c>
      <c r="F164" s="63">
        <f>IF(TournamentData[[#This Row],[Team Number]]="","",_xlfn.XLOOKUP(TournamentData[[#This Row],[Team Number]],RobotGameScores[Team Number],RobotGameScores[Robot Game 4 Score],0,0,))</f>
        <v>0</v>
      </c>
      <c r="G164" s="63">
        <f>IF(TournamentData[[#This Row],[Team Number]]="","",_xlfn.XLOOKUP(TournamentData[[#This Row],[Team Number]],RobotGameScores[Team Number],RobotGameScores[Robot Game 5 Score],0,0,))</f>
        <v>0</v>
      </c>
      <c r="H164"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64" s="63">
        <f>IF(TournamentData[[#This Row],[Team Number]]="","",_xlfn.RANK.EQ(TournamentData[[#This Row],[Max Robot Game Score]],TournamentData[Max Robot Game Score]))</f>
        <v>1</v>
      </c>
      <c r="J164" s="63">
        <f>IF(TournamentData[[#This Row],[Team Number]]="","",_xlfn.XLOOKUP(TournamentData[[#This Row],[Team Number]],CoreValuesResults[Team Number],CoreValuesResults[Core Values Rank],NumberOfTeams+1,0,))</f>
        <v>1</v>
      </c>
      <c r="K164" s="63">
        <f>IF(TournamentData[[#This Row],[Team Number]]="","",_xlfn.XLOOKUP(TournamentData[[#This Row],[Team Number]],InnovationProjectResults[Team Number],InnovationProjectResults[Innovation Project Rank],NumberOfTeams+1,0,))</f>
        <v>1</v>
      </c>
      <c r="L164" s="63">
        <f>IF(TournamentData[[#This Row],[Team Number]]="","",_xlfn.XLOOKUP(TournamentData[[#This Row],[Team Number]],RobotDesignResults[Team Number],RobotDesignResults[Robot Design Rank],NumberOfTeams+1,0,))</f>
        <v>1</v>
      </c>
      <c r="M164"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64" s="64">
        <f>IF(TournamentData[[#This Row],[Team Number]]="","",IF(M164,RANK(M164,M$3:M$202,1)-COUNTIF(M$3:M$202,0),NumberOfTeams+1))</f>
        <v>1</v>
      </c>
      <c r="O164" s="70">
        <f>_xlfn.XLOOKUP(TournamentData[[#This Row],[Team Number]],CoreValuesResults[Team Number],CoreValuesResults[Breakthrough Selection],0,0,)</f>
        <v>0</v>
      </c>
      <c r="P164" s="70">
        <f>_xlfn.XLOOKUP(TournamentData[[#This Row],[Team Number]],CoreValuesResults[Team Number],CoreValuesResults[Rising All-Star Selection],0,0,)</f>
        <v>0</v>
      </c>
      <c r="Q164" s="70">
        <f>_xlfn.XLOOKUP(TournamentData[[#This Row],[Team Number]],CoreValuesResults[Team Number],CoreValuesResults[Motivate Selection],0,0,)</f>
        <v>0</v>
      </c>
      <c r="R164" s="66"/>
      <c r="S164" s="66"/>
      <c r="T164" s="67"/>
      <c r="U164" s="63">
        <f>_xlfn.XLOOKUP(TournamentData[[#This Row],[Team Number]],CoreValuesResults[Team Number],CoreValuesResults[Core Values Score],0,0,)</f>
        <v>0</v>
      </c>
      <c r="V164" s="63">
        <f>_xlfn.XLOOKUP(TournamentData[[#This Row],[Team Number]],InnovationProjectResults[Team Number],InnovationProjectResults[Innovation Project Score],0,0,)</f>
        <v>0</v>
      </c>
      <c r="W164" s="63">
        <f>_xlfn.XLOOKUP(TournamentData[[#This Row],[Team Number]],RobotDesignResults[Team Number],RobotDesignResults[Robot Design Score],0,0,)</f>
        <v>0</v>
      </c>
      <c r="X164"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64" s="71">
        <f t="shared" si="5"/>
        <v>0</v>
      </c>
      <c r="Z164" s="66"/>
    </row>
    <row r="165" spans="1:26" ht="21" customHeight="1" x14ac:dyDescent="0.45">
      <c r="A165">
        <f>_xlfn.XLOOKUP(163,OfficialTeamList[Row],OfficialTeamList[Team Number],"ERROR",0)</f>
        <v>0</v>
      </c>
      <c r="B165" s="62" t="str">
        <f>_xlfn.XLOOKUP(TournamentData[[#This Row],[Team Number]],OfficialTeamList[Team Number],OfficialTeamList[Team Name],"",0,)</f>
        <v/>
      </c>
      <c r="C165" s="63">
        <f>IF(TournamentData[[#This Row],[Team Number]]="","",_xlfn.XLOOKUP(TournamentData[[#This Row],[Team Number]],RobotGameScores[Team Number],RobotGameScores[Robot Game 1 Score],0,0,))</f>
        <v>0</v>
      </c>
      <c r="D165" s="63">
        <f>IF(TournamentData[[#This Row],[Team Number]]="","",_xlfn.XLOOKUP(TournamentData[[#This Row],[Team Number]],RobotGameScores[Team Number],RobotGameScores[Robot Game 2 Score],0,0,))</f>
        <v>0</v>
      </c>
      <c r="E165" s="63">
        <f>IF(TournamentData[[#This Row],[Team Number]]="","",_xlfn.XLOOKUP(TournamentData[[#This Row],[Team Number]],RobotGameScores[Team Number],RobotGameScores[Robot Game 3 Score],0,0,))</f>
        <v>0</v>
      </c>
      <c r="F165" s="63">
        <f>IF(TournamentData[[#This Row],[Team Number]]="","",_xlfn.XLOOKUP(TournamentData[[#This Row],[Team Number]],RobotGameScores[Team Number],RobotGameScores[Robot Game 4 Score],0,0,))</f>
        <v>0</v>
      </c>
      <c r="G165" s="63">
        <f>IF(TournamentData[[#This Row],[Team Number]]="","",_xlfn.XLOOKUP(TournamentData[[#This Row],[Team Number]],RobotGameScores[Team Number],RobotGameScores[Robot Game 5 Score],0,0,))</f>
        <v>0</v>
      </c>
      <c r="H165"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65" s="63">
        <f>IF(TournamentData[[#This Row],[Team Number]]="","",_xlfn.RANK.EQ(TournamentData[[#This Row],[Max Robot Game Score]],TournamentData[Max Robot Game Score]))</f>
        <v>1</v>
      </c>
      <c r="J165" s="63">
        <f>IF(TournamentData[[#This Row],[Team Number]]="","",_xlfn.XLOOKUP(TournamentData[[#This Row],[Team Number]],CoreValuesResults[Team Number],CoreValuesResults[Core Values Rank],NumberOfTeams+1,0,))</f>
        <v>1</v>
      </c>
      <c r="K165" s="63">
        <f>IF(TournamentData[[#This Row],[Team Number]]="","",_xlfn.XLOOKUP(TournamentData[[#This Row],[Team Number]],InnovationProjectResults[Team Number],InnovationProjectResults[Innovation Project Rank],NumberOfTeams+1,0,))</f>
        <v>1</v>
      </c>
      <c r="L165" s="63">
        <f>IF(TournamentData[[#This Row],[Team Number]]="","",_xlfn.XLOOKUP(TournamentData[[#This Row],[Team Number]],RobotDesignResults[Team Number],RobotDesignResults[Robot Design Rank],NumberOfTeams+1,0,))</f>
        <v>1</v>
      </c>
      <c r="M165"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65" s="64">
        <f>IF(TournamentData[[#This Row],[Team Number]]="","",IF(M165,RANK(M165,M$3:M$202,1)-COUNTIF(M$3:M$202,0),NumberOfTeams+1))</f>
        <v>1</v>
      </c>
      <c r="O165" s="70">
        <f>_xlfn.XLOOKUP(TournamentData[[#This Row],[Team Number]],CoreValuesResults[Team Number],CoreValuesResults[Breakthrough Selection],0,0,)</f>
        <v>0</v>
      </c>
      <c r="P165" s="70">
        <f>_xlfn.XLOOKUP(TournamentData[[#This Row],[Team Number]],CoreValuesResults[Team Number],CoreValuesResults[Rising All-Star Selection],0,0,)</f>
        <v>0</v>
      </c>
      <c r="Q165" s="70">
        <f>_xlfn.XLOOKUP(TournamentData[[#This Row],[Team Number]],CoreValuesResults[Team Number],CoreValuesResults[Motivate Selection],0,0,)</f>
        <v>0</v>
      </c>
      <c r="R165" s="66"/>
      <c r="S165" s="66"/>
      <c r="T165" s="67"/>
      <c r="U165" s="63">
        <f>_xlfn.XLOOKUP(TournamentData[[#This Row],[Team Number]],CoreValuesResults[Team Number],CoreValuesResults[Core Values Score],0,0,)</f>
        <v>0</v>
      </c>
      <c r="V165" s="63">
        <f>_xlfn.XLOOKUP(TournamentData[[#This Row],[Team Number]],InnovationProjectResults[Team Number],InnovationProjectResults[Innovation Project Score],0,0,)</f>
        <v>0</v>
      </c>
      <c r="W165" s="63">
        <f>_xlfn.XLOOKUP(TournamentData[[#This Row],[Team Number]],RobotDesignResults[Team Number],RobotDesignResults[Robot Design Score],0,0,)</f>
        <v>0</v>
      </c>
      <c r="X165"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65" s="71">
        <f t="shared" si="5"/>
        <v>0</v>
      </c>
      <c r="Z165" s="66"/>
    </row>
    <row r="166" spans="1:26" ht="21" customHeight="1" x14ac:dyDescent="0.45">
      <c r="A166">
        <f>_xlfn.XLOOKUP(164,OfficialTeamList[Row],OfficialTeamList[Team Number],"ERROR",0)</f>
        <v>0</v>
      </c>
      <c r="B166" s="62" t="str">
        <f>_xlfn.XLOOKUP(TournamentData[[#This Row],[Team Number]],OfficialTeamList[Team Number],OfficialTeamList[Team Name],"",0,)</f>
        <v/>
      </c>
      <c r="C166" s="63">
        <f>IF(TournamentData[[#This Row],[Team Number]]="","",_xlfn.XLOOKUP(TournamentData[[#This Row],[Team Number]],RobotGameScores[Team Number],RobotGameScores[Robot Game 1 Score],0,0,))</f>
        <v>0</v>
      </c>
      <c r="D166" s="63">
        <f>IF(TournamentData[[#This Row],[Team Number]]="","",_xlfn.XLOOKUP(TournamentData[[#This Row],[Team Number]],RobotGameScores[Team Number],RobotGameScores[Robot Game 2 Score],0,0,))</f>
        <v>0</v>
      </c>
      <c r="E166" s="63">
        <f>IF(TournamentData[[#This Row],[Team Number]]="","",_xlfn.XLOOKUP(TournamentData[[#This Row],[Team Number]],RobotGameScores[Team Number],RobotGameScores[Robot Game 3 Score],0,0,))</f>
        <v>0</v>
      </c>
      <c r="F166" s="63">
        <f>IF(TournamentData[[#This Row],[Team Number]]="","",_xlfn.XLOOKUP(TournamentData[[#This Row],[Team Number]],RobotGameScores[Team Number],RobotGameScores[Robot Game 4 Score],0,0,))</f>
        <v>0</v>
      </c>
      <c r="G166" s="63">
        <f>IF(TournamentData[[#This Row],[Team Number]]="","",_xlfn.XLOOKUP(TournamentData[[#This Row],[Team Number]],RobotGameScores[Team Number],RobotGameScores[Robot Game 5 Score],0,0,))</f>
        <v>0</v>
      </c>
      <c r="H166"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66" s="63">
        <f>IF(TournamentData[[#This Row],[Team Number]]="","",_xlfn.RANK.EQ(TournamentData[[#This Row],[Max Robot Game Score]],TournamentData[Max Robot Game Score]))</f>
        <v>1</v>
      </c>
      <c r="J166" s="63">
        <f>IF(TournamentData[[#This Row],[Team Number]]="","",_xlfn.XLOOKUP(TournamentData[[#This Row],[Team Number]],CoreValuesResults[Team Number],CoreValuesResults[Core Values Rank],NumberOfTeams+1,0,))</f>
        <v>1</v>
      </c>
      <c r="K166" s="63">
        <f>IF(TournamentData[[#This Row],[Team Number]]="","",_xlfn.XLOOKUP(TournamentData[[#This Row],[Team Number]],InnovationProjectResults[Team Number],InnovationProjectResults[Innovation Project Rank],NumberOfTeams+1,0,))</f>
        <v>1</v>
      </c>
      <c r="L166" s="63">
        <f>IF(TournamentData[[#This Row],[Team Number]]="","",_xlfn.XLOOKUP(TournamentData[[#This Row],[Team Number]],RobotDesignResults[Team Number],RobotDesignResults[Robot Design Rank],NumberOfTeams+1,0,))</f>
        <v>1</v>
      </c>
      <c r="M166"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66" s="64">
        <f>IF(TournamentData[[#This Row],[Team Number]]="","",IF(M166,RANK(M166,M$3:M$202,1)-COUNTIF(M$3:M$202,0),NumberOfTeams+1))</f>
        <v>1</v>
      </c>
      <c r="O166" s="70">
        <f>_xlfn.XLOOKUP(TournamentData[[#This Row],[Team Number]],CoreValuesResults[Team Number],CoreValuesResults[Breakthrough Selection],0,0,)</f>
        <v>0</v>
      </c>
      <c r="P166" s="70">
        <f>_xlfn.XLOOKUP(TournamentData[[#This Row],[Team Number]],CoreValuesResults[Team Number],CoreValuesResults[Rising All-Star Selection],0,0,)</f>
        <v>0</v>
      </c>
      <c r="Q166" s="70">
        <f>_xlfn.XLOOKUP(TournamentData[[#This Row],[Team Number]],CoreValuesResults[Team Number],CoreValuesResults[Motivate Selection],0,0,)</f>
        <v>0</v>
      </c>
      <c r="R166" s="66"/>
      <c r="S166" s="66"/>
      <c r="T166" s="67"/>
      <c r="U166" s="63">
        <f>_xlfn.XLOOKUP(TournamentData[[#This Row],[Team Number]],CoreValuesResults[Team Number],CoreValuesResults[Core Values Score],0,0,)</f>
        <v>0</v>
      </c>
      <c r="V166" s="63">
        <f>_xlfn.XLOOKUP(TournamentData[[#This Row],[Team Number]],InnovationProjectResults[Team Number],InnovationProjectResults[Innovation Project Score],0,0,)</f>
        <v>0</v>
      </c>
      <c r="W166" s="63">
        <f>_xlfn.XLOOKUP(TournamentData[[#This Row],[Team Number]],RobotDesignResults[Team Number],RobotDesignResults[Robot Design Score],0,0,)</f>
        <v>0</v>
      </c>
      <c r="X166"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66" s="71">
        <f t="shared" si="5"/>
        <v>0</v>
      </c>
      <c r="Z166" s="66"/>
    </row>
    <row r="167" spans="1:26" ht="21" customHeight="1" x14ac:dyDescent="0.45">
      <c r="A167">
        <f>_xlfn.XLOOKUP(165,OfficialTeamList[Row],OfficialTeamList[Team Number],"ERROR",0)</f>
        <v>0</v>
      </c>
      <c r="B167" s="62" t="str">
        <f>_xlfn.XLOOKUP(TournamentData[[#This Row],[Team Number]],OfficialTeamList[Team Number],OfficialTeamList[Team Name],"",0,)</f>
        <v/>
      </c>
      <c r="C167" s="63">
        <f>IF(TournamentData[[#This Row],[Team Number]]="","",_xlfn.XLOOKUP(TournamentData[[#This Row],[Team Number]],RobotGameScores[Team Number],RobotGameScores[Robot Game 1 Score],0,0,))</f>
        <v>0</v>
      </c>
      <c r="D167" s="63">
        <f>IF(TournamentData[[#This Row],[Team Number]]="","",_xlfn.XLOOKUP(TournamentData[[#This Row],[Team Number]],RobotGameScores[Team Number],RobotGameScores[Robot Game 2 Score],0,0,))</f>
        <v>0</v>
      </c>
      <c r="E167" s="63">
        <f>IF(TournamentData[[#This Row],[Team Number]]="","",_xlfn.XLOOKUP(TournamentData[[#This Row],[Team Number]],RobotGameScores[Team Number],RobotGameScores[Robot Game 3 Score],0,0,))</f>
        <v>0</v>
      </c>
      <c r="F167" s="63">
        <f>IF(TournamentData[[#This Row],[Team Number]]="","",_xlfn.XLOOKUP(TournamentData[[#This Row],[Team Number]],RobotGameScores[Team Number],RobotGameScores[Robot Game 4 Score],0,0,))</f>
        <v>0</v>
      </c>
      <c r="G167" s="63">
        <f>IF(TournamentData[[#This Row],[Team Number]]="","",_xlfn.XLOOKUP(TournamentData[[#This Row],[Team Number]],RobotGameScores[Team Number],RobotGameScores[Robot Game 5 Score],0,0,))</f>
        <v>0</v>
      </c>
      <c r="H167"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67" s="63">
        <f>IF(TournamentData[[#This Row],[Team Number]]="","",_xlfn.RANK.EQ(TournamentData[[#This Row],[Max Robot Game Score]],TournamentData[Max Robot Game Score]))</f>
        <v>1</v>
      </c>
      <c r="J167" s="63">
        <f>IF(TournamentData[[#This Row],[Team Number]]="","",_xlfn.XLOOKUP(TournamentData[[#This Row],[Team Number]],CoreValuesResults[Team Number],CoreValuesResults[Core Values Rank],NumberOfTeams+1,0,))</f>
        <v>1</v>
      </c>
      <c r="K167" s="63">
        <f>IF(TournamentData[[#This Row],[Team Number]]="","",_xlfn.XLOOKUP(TournamentData[[#This Row],[Team Number]],InnovationProjectResults[Team Number],InnovationProjectResults[Innovation Project Rank],NumberOfTeams+1,0,))</f>
        <v>1</v>
      </c>
      <c r="L167" s="63">
        <f>IF(TournamentData[[#This Row],[Team Number]]="","",_xlfn.XLOOKUP(TournamentData[[#This Row],[Team Number]],RobotDesignResults[Team Number],RobotDesignResults[Robot Design Rank],NumberOfTeams+1,0,))</f>
        <v>1</v>
      </c>
      <c r="M167"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67" s="64">
        <f>IF(TournamentData[[#This Row],[Team Number]]="","",IF(M167,RANK(M167,M$3:M$202,1)-COUNTIF(M$3:M$202,0),NumberOfTeams+1))</f>
        <v>1</v>
      </c>
      <c r="O167" s="70">
        <f>_xlfn.XLOOKUP(TournamentData[[#This Row],[Team Number]],CoreValuesResults[Team Number],CoreValuesResults[Breakthrough Selection],0,0,)</f>
        <v>0</v>
      </c>
      <c r="P167" s="70">
        <f>_xlfn.XLOOKUP(TournamentData[[#This Row],[Team Number]],CoreValuesResults[Team Number],CoreValuesResults[Rising All-Star Selection],0,0,)</f>
        <v>0</v>
      </c>
      <c r="Q167" s="70">
        <f>_xlfn.XLOOKUP(TournamentData[[#This Row],[Team Number]],CoreValuesResults[Team Number],CoreValuesResults[Motivate Selection],0,0,)</f>
        <v>0</v>
      </c>
      <c r="R167" s="66"/>
      <c r="S167" s="66"/>
      <c r="T167" s="67"/>
      <c r="U167" s="63">
        <f>_xlfn.XLOOKUP(TournamentData[[#This Row],[Team Number]],CoreValuesResults[Team Number],CoreValuesResults[Core Values Score],0,0,)</f>
        <v>0</v>
      </c>
      <c r="V167" s="63">
        <f>_xlfn.XLOOKUP(TournamentData[[#This Row],[Team Number]],InnovationProjectResults[Team Number],InnovationProjectResults[Innovation Project Score],0,0,)</f>
        <v>0</v>
      </c>
      <c r="W167" s="63">
        <f>_xlfn.XLOOKUP(TournamentData[[#This Row],[Team Number]],RobotDesignResults[Team Number],RobotDesignResults[Robot Design Score],0,0,)</f>
        <v>0</v>
      </c>
      <c r="X167"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67" s="71">
        <f t="shared" si="5"/>
        <v>0</v>
      </c>
      <c r="Z167" s="66"/>
    </row>
    <row r="168" spans="1:26" ht="21" customHeight="1" x14ac:dyDescent="0.45">
      <c r="A168">
        <f>_xlfn.XLOOKUP(166,OfficialTeamList[Row],OfficialTeamList[Team Number],"ERROR",0)</f>
        <v>0</v>
      </c>
      <c r="B168" s="62" t="str">
        <f>_xlfn.XLOOKUP(TournamentData[[#This Row],[Team Number]],OfficialTeamList[Team Number],OfficialTeamList[Team Name],"",0,)</f>
        <v/>
      </c>
      <c r="C168" s="63">
        <f>IF(TournamentData[[#This Row],[Team Number]]="","",_xlfn.XLOOKUP(TournamentData[[#This Row],[Team Number]],RobotGameScores[Team Number],RobotGameScores[Robot Game 1 Score],0,0,))</f>
        <v>0</v>
      </c>
      <c r="D168" s="63">
        <f>IF(TournamentData[[#This Row],[Team Number]]="","",_xlfn.XLOOKUP(TournamentData[[#This Row],[Team Number]],RobotGameScores[Team Number],RobotGameScores[Robot Game 2 Score],0,0,))</f>
        <v>0</v>
      </c>
      <c r="E168" s="63">
        <f>IF(TournamentData[[#This Row],[Team Number]]="","",_xlfn.XLOOKUP(TournamentData[[#This Row],[Team Number]],RobotGameScores[Team Number],RobotGameScores[Robot Game 3 Score],0,0,))</f>
        <v>0</v>
      </c>
      <c r="F168" s="63">
        <f>IF(TournamentData[[#This Row],[Team Number]]="","",_xlfn.XLOOKUP(TournamentData[[#This Row],[Team Number]],RobotGameScores[Team Number],RobotGameScores[Robot Game 4 Score],0,0,))</f>
        <v>0</v>
      </c>
      <c r="G168" s="63">
        <f>IF(TournamentData[[#This Row],[Team Number]]="","",_xlfn.XLOOKUP(TournamentData[[#This Row],[Team Number]],RobotGameScores[Team Number],RobotGameScores[Robot Game 5 Score],0,0,))</f>
        <v>0</v>
      </c>
      <c r="H168"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68" s="63">
        <f>IF(TournamentData[[#This Row],[Team Number]]="","",_xlfn.RANK.EQ(TournamentData[[#This Row],[Max Robot Game Score]],TournamentData[Max Robot Game Score]))</f>
        <v>1</v>
      </c>
      <c r="J168" s="63">
        <f>IF(TournamentData[[#This Row],[Team Number]]="","",_xlfn.XLOOKUP(TournamentData[[#This Row],[Team Number]],CoreValuesResults[Team Number],CoreValuesResults[Core Values Rank],NumberOfTeams+1,0,))</f>
        <v>1</v>
      </c>
      <c r="K168" s="63">
        <f>IF(TournamentData[[#This Row],[Team Number]]="","",_xlfn.XLOOKUP(TournamentData[[#This Row],[Team Number]],InnovationProjectResults[Team Number],InnovationProjectResults[Innovation Project Rank],NumberOfTeams+1,0,))</f>
        <v>1</v>
      </c>
      <c r="L168" s="63">
        <f>IF(TournamentData[[#This Row],[Team Number]]="","",_xlfn.XLOOKUP(TournamentData[[#This Row],[Team Number]],RobotDesignResults[Team Number],RobotDesignResults[Robot Design Rank],NumberOfTeams+1,0,))</f>
        <v>1</v>
      </c>
      <c r="M168"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68" s="64">
        <f>IF(TournamentData[[#This Row],[Team Number]]="","",IF(M168,RANK(M168,M$3:M$202,1)-COUNTIF(M$3:M$202,0),NumberOfTeams+1))</f>
        <v>1</v>
      </c>
      <c r="O168" s="70">
        <f>_xlfn.XLOOKUP(TournamentData[[#This Row],[Team Number]],CoreValuesResults[Team Number],CoreValuesResults[Breakthrough Selection],0,0,)</f>
        <v>0</v>
      </c>
      <c r="P168" s="70">
        <f>_xlfn.XLOOKUP(TournamentData[[#This Row],[Team Number]],CoreValuesResults[Team Number],CoreValuesResults[Rising All-Star Selection],0,0,)</f>
        <v>0</v>
      </c>
      <c r="Q168" s="70">
        <f>_xlfn.XLOOKUP(TournamentData[[#This Row],[Team Number]],CoreValuesResults[Team Number],CoreValuesResults[Motivate Selection],0,0,)</f>
        <v>0</v>
      </c>
      <c r="R168" s="66"/>
      <c r="S168" s="66"/>
      <c r="T168" s="67"/>
      <c r="U168" s="63">
        <f>_xlfn.XLOOKUP(TournamentData[[#This Row],[Team Number]],CoreValuesResults[Team Number],CoreValuesResults[Core Values Score],0,0,)</f>
        <v>0</v>
      </c>
      <c r="V168" s="63">
        <f>_xlfn.XLOOKUP(TournamentData[[#This Row],[Team Number]],InnovationProjectResults[Team Number],InnovationProjectResults[Innovation Project Score],0,0,)</f>
        <v>0</v>
      </c>
      <c r="W168" s="63">
        <f>_xlfn.XLOOKUP(TournamentData[[#This Row],[Team Number]],RobotDesignResults[Team Number],RobotDesignResults[Robot Design Score],0,0,)</f>
        <v>0</v>
      </c>
      <c r="X168"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68" s="71">
        <f t="shared" si="5"/>
        <v>0</v>
      </c>
      <c r="Z168" s="66"/>
    </row>
    <row r="169" spans="1:26" ht="21" customHeight="1" x14ac:dyDescent="0.45">
      <c r="A169">
        <f>_xlfn.XLOOKUP(167,OfficialTeamList[Row],OfficialTeamList[Team Number],"ERROR",0)</f>
        <v>0</v>
      </c>
      <c r="B169" s="62" t="str">
        <f>_xlfn.XLOOKUP(TournamentData[[#This Row],[Team Number]],OfficialTeamList[Team Number],OfficialTeamList[Team Name],"",0,)</f>
        <v/>
      </c>
      <c r="C169" s="63">
        <f>IF(TournamentData[[#This Row],[Team Number]]="","",_xlfn.XLOOKUP(TournamentData[[#This Row],[Team Number]],RobotGameScores[Team Number],RobotGameScores[Robot Game 1 Score],0,0,))</f>
        <v>0</v>
      </c>
      <c r="D169" s="63">
        <f>IF(TournamentData[[#This Row],[Team Number]]="","",_xlfn.XLOOKUP(TournamentData[[#This Row],[Team Number]],RobotGameScores[Team Number],RobotGameScores[Robot Game 2 Score],0,0,))</f>
        <v>0</v>
      </c>
      <c r="E169" s="63">
        <f>IF(TournamentData[[#This Row],[Team Number]]="","",_xlfn.XLOOKUP(TournamentData[[#This Row],[Team Number]],RobotGameScores[Team Number],RobotGameScores[Robot Game 3 Score],0,0,))</f>
        <v>0</v>
      </c>
      <c r="F169" s="63">
        <f>IF(TournamentData[[#This Row],[Team Number]]="","",_xlfn.XLOOKUP(TournamentData[[#This Row],[Team Number]],RobotGameScores[Team Number],RobotGameScores[Robot Game 4 Score],0,0,))</f>
        <v>0</v>
      </c>
      <c r="G169" s="63">
        <f>IF(TournamentData[[#This Row],[Team Number]]="","",_xlfn.XLOOKUP(TournamentData[[#This Row],[Team Number]],RobotGameScores[Team Number],RobotGameScores[Robot Game 5 Score],0,0,))</f>
        <v>0</v>
      </c>
      <c r="H169"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69" s="63">
        <f>IF(TournamentData[[#This Row],[Team Number]]="","",_xlfn.RANK.EQ(TournamentData[[#This Row],[Max Robot Game Score]],TournamentData[Max Robot Game Score]))</f>
        <v>1</v>
      </c>
      <c r="J169" s="63">
        <f>IF(TournamentData[[#This Row],[Team Number]]="","",_xlfn.XLOOKUP(TournamentData[[#This Row],[Team Number]],CoreValuesResults[Team Number],CoreValuesResults[Core Values Rank],NumberOfTeams+1,0,))</f>
        <v>1</v>
      </c>
      <c r="K169" s="63">
        <f>IF(TournamentData[[#This Row],[Team Number]]="","",_xlfn.XLOOKUP(TournamentData[[#This Row],[Team Number]],InnovationProjectResults[Team Number],InnovationProjectResults[Innovation Project Rank],NumberOfTeams+1,0,))</f>
        <v>1</v>
      </c>
      <c r="L169" s="63">
        <f>IF(TournamentData[[#This Row],[Team Number]]="","",_xlfn.XLOOKUP(TournamentData[[#This Row],[Team Number]],RobotDesignResults[Team Number],RobotDesignResults[Robot Design Rank],NumberOfTeams+1,0,))</f>
        <v>1</v>
      </c>
      <c r="M169"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69" s="64">
        <f>IF(TournamentData[[#This Row],[Team Number]]="","",IF(M169,RANK(M169,M$3:M$202,1)-COUNTIF(M$3:M$202,0),NumberOfTeams+1))</f>
        <v>1</v>
      </c>
      <c r="O169" s="70">
        <f>_xlfn.XLOOKUP(TournamentData[[#This Row],[Team Number]],CoreValuesResults[Team Number],CoreValuesResults[Breakthrough Selection],0,0,)</f>
        <v>0</v>
      </c>
      <c r="P169" s="70">
        <f>_xlfn.XLOOKUP(TournamentData[[#This Row],[Team Number]],CoreValuesResults[Team Number],CoreValuesResults[Rising All-Star Selection],0,0,)</f>
        <v>0</v>
      </c>
      <c r="Q169" s="70">
        <f>_xlfn.XLOOKUP(TournamentData[[#This Row],[Team Number]],CoreValuesResults[Team Number],CoreValuesResults[Motivate Selection],0,0,)</f>
        <v>0</v>
      </c>
      <c r="R169" s="66"/>
      <c r="S169" s="66"/>
      <c r="T169" s="67"/>
      <c r="U169" s="63">
        <f>_xlfn.XLOOKUP(TournamentData[[#This Row],[Team Number]],CoreValuesResults[Team Number],CoreValuesResults[Core Values Score],0,0,)</f>
        <v>0</v>
      </c>
      <c r="V169" s="63">
        <f>_xlfn.XLOOKUP(TournamentData[[#This Row],[Team Number]],InnovationProjectResults[Team Number],InnovationProjectResults[Innovation Project Score],0,0,)</f>
        <v>0</v>
      </c>
      <c r="W169" s="63">
        <f>_xlfn.XLOOKUP(TournamentData[[#This Row],[Team Number]],RobotDesignResults[Team Number],RobotDesignResults[Robot Design Score],0,0,)</f>
        <v>0</v>
      </c>
      <c r="X169"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69" s="71">
        <f t="shared" si="5"/>
        <v>0</v>
      </c>
      <c r="Z169" s="66"/>
    </row>
    <row r="170" spans="1:26" ht="21" customHeight="1" x14ac:dyDescent="0.45">
      <c r="A170">
        <f>_xlfn.XLOOKUP(168,OfficialTeamList[Row],OfficialTeamList[Team Number],"ERROR",0)</f>
        <v>0</v>
      </c>
      <c r="B170" s="62" t="str">
        <f>_xlfn.XLOOKUP(TournamentData[[#This Row],[Team Number]],OfficialTeamList[Team Number],OfficialTeamList[Team Name],"",0,)</f>
        <v/>
      </c>
      <c r="C170" s="63">
        <f>IF(TournamentData[[#This Row],[Team Number]]="","",_xlfn.XLOOKUP(TournamentData[[#This Row],[Team Number]],RobotGameScores[Team Number],RobotGameScores[Robot Game 1 Score],0,0,))</f>
        <v>0</v>
      </c>
      <c r="D170" s="63">
        <f>IF(TournamentData[[#This Row],[Team Number]]="","",_xlfn.XLOOKUP(TournamentData[[#This Row],[Team Number]],RobotGameScores[Team Number],RobotGameScores[Robot Game 2 Score],0,0,))</f>
        <v>0</v>
      </c>
      <c r="E170" s="63">
        <f>IF(TournamentData[[#This Row],[Team Number]]="","",_xlfn.XLOOKUP(TournamentData[[#This Row],[Team Number]],RobotGameScores[Team Number],RobotGameScores[Robot Game 3 Score],0,0,))</f>
        <v>0</v>
      </c>
      <c r="F170" s="63">
        <f>IF(TournamentData[[#This Row],[Team Number]]="","",_xlfn.XLOOKUP(TournamentData[[#This Row],[Team Number]],RobotGameScores[Team Number],RobotGameScores[Robot Game 4 Score],0,0,))</f>
        <v>0</v>
      </c>
      <c r="G170" s="63">
        <f>IF(TournamentData[[#This Row],[Team Number]]="","",_xlfn.XLOOKUP(TournamentData[[#This Row],[Team Number]],RobotGameScores[Team Number],RobotGameScores[Robot Game 5 Score],0,0,))</f>
        <v>0</v>
      </c>
      <c r="H170"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70" s="63">
        <f>IF(TournamentData[[#This Row],[Team Number]]="","",_xlfn.RANK.EQ(TournamentData[[#This Row],[Max Robot Game Score]],TournamentData[Max Robot Game Score]))</f>
        <v>1</v>
      </c>
      <c r="J170" s="63">
        <f>IF(TournamentData[[#This Row],[Team Number]]="","",_xlfn.XLOOKUP(TournamentData[[#This Row],[Team Number]],CoreValuesResults[Team Number],CoreValuesResults[Core Values Rank],NumberOfTeams+1,0,))</f>
        <v>1</v>
      </c>
      <c r="K170" s="63">
        <f>IF(TournamentData[[#This Row],[Team Number]]="","",_xlfn.XLOOKUP(TournamentData[[#This Row],[Team Number]],InnovationProjectResults[Team Number],InnovationProjectResults[Innovation Project Rank],NumberOfTeams+1,0,))</f>
        <v>1</v>
      </c>
      <c r="L170" s="63">
        <f>IF(TournamentData[[#This Row],[Team Number]]="","",_xlfn.XLOOKUP(TournamentData[[#This Row],[Team Number]],RobotDesignResults[Team Number],RobotDesignResults[Robot Design Rank],NumberOfTeams+1,0,))</f>
        <v>1</v>
      </c>
      <c r="M170"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70" s="64">
        <f>IF(TournamentData[[#This Row],[Team Number]]="","",IF(M170,RANK(M170,M$3:M$202,1)-COUNTIF(M$3:M$202,0),NumberOfTeams+1))</f>
        <v>1</v>
      </c>
      <c r="O170" s="70">
        <f>_xlfn.XLOOKUP(TournamentData[[#This Row],[Team Number]],CoreValuesResults[Team Number],CoreValuesResults[Breakthrough Selection],0,0,)</f>
        <v>0</v>
      </c>
      <c r="P170" s="70">
        <f>_xlfn.XLOOKUP(TournamentData[[#This Row],[Team Number]],CoreValuesResults[Team Number],CoreValuesResults[Rising All-Star Selection],0,0,)</f>
        <v>0</v>
      </c>
      <c r="Q170" s="70">
        <f>_xlfn.XLOOKUP(TournamentData[[#This Row],[Team Number]],CoreValuesResults[Team Number],CoreValuesResults[Motivate Selection],0,0,)</f>
        <v>0</v>
      </c>
      <c r="R170" s="66"/>
      <c r="S170" s="66"/>
      <c r="T170" s="67"/>
      <c r="U170" s="63">
        <f>_xlfn.XLOOKUP(TournamentData[[#This Row],[Team Number]],CoreValuesResults[Team Number],CoreValuesResults[Core Values Score],0,0,)</f>
        <v>0</v>
      </c>
      <c r="V170" s="63">
        <f>_xlfn.XLOOKUP(TournamentData[[#This Row],[Team Number]],InnovationProjectResults[Team Number],InnovationProjectResults[Innovation Project Score],0,0,)</f>
        <v>0</v>
      </c>
      <c r="W170" s="63">
        <f>_xlfn.XLOOKUP(TournamentData[[#This Row],[Team Number]],RobotDesignResults[Team Number],RobotDesignResults[Robot Design Score],0,0,)</f>
        <v>0</v>
      </c>
      <c r="X170"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70" s="71">
        <f t="shared" si="5"/>
        <v>0</v>
      </c>
      <c r="Z170" s="66"/>
    </row>
    <row r="171" spans="1:26" ht="21" customHeight="1" x14ac:dyDescent="0.45">
      <c r="A171">
        <f>_xlfn.XLOOKUP(169,OfficialTeamList[Row],OfficialTeamList[Team Number],"ERROR",0)</f>
        <v>0</v>
      </c>
      <c r="B171" s="62" t="str">
        <f>_xlfn.XLOOKUP(TournamentData[[#This Row],[Team Number]],OfficialTeamList[Team Number],OfficialTeamList[Team Name],"",0,)</f>
        <v/>
      </c>
      <c r="C171" s="63">
        <f>IF(TournamentData[[#This Row],[Team Number]]="","",_xlfn.XLOOKUP(TournamentData[[#This Row],[Team Number]],RobotGameScores[Team Number],RobotGameScores[Robot Game 1 Score],0,0,))</f>
        <v>0</v>
      </c>
      <c r="D171" s="63">
        <f>IF(TournamentData[[#This Row],[Team Number]]="","",_xlfn.XLOOKUP(TournamentData[[#This Row],[Team Number]],RobotGameScores[Team Number],RobotGameScores[Robot Game 2 Score],0,0,))</f>
        <v>0</v>
      </c>
      <c r="E171" s="63">
        <f>IF(TournamentData[[#This Row],[Team Number]]="","",_xlfn.XLOOKUP(TournamentData[[#This Row],[Team Number]],RobotGameScores[Team Number],RobotGameScores[Robot Game 3 Score],0,0,))</f>
        <v>0</v>
      </c>
      <c r="F171" s="63">
        <f>IF(TournamentData[[#This Row],[Team Number]]="","",_xlfn.XLOOKUP(TournamentData[[#This Row],[Team Number]],RobotGameScores[Team Number],RobotGameScores[Robot Game 4 Score],0,0,))</f>
        <v>0</v>
      </c>
      <c r="G171" s="63">
        <f>IF(TournamentData[[#This Row],[Team Number]]="","",_xlfn.XLOOKUP(TournamentData[[#This Row],[Team Number]],RobotGameScores[Team Number],RobotGameScores[Robot Game 5 Score],0,0,))</f>
        <v>0</v>
      </c>
      <c r="H171"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71" s="63">
        <f>IF(TournamentData[[#This Row],[Team Number]]="","",_xlfn.RANK.EQ(TournamentData[[#This Row],[Max Robot Game Score]],TournamentData[Max Robot Game Score]))</f>
        <v>1</v>
      </c>
      <c r="J171" s="63">
        <f>IF(TournamentData[[#This Row],[Team Number]]="","",_xlfn.XLOOKUP(TournamentData[[#This Row],[Team Number]],CoreValuesResults[Team Number],CoreValuesResults[Core Values Rank],NumberOfTeams+1,0,))</f>
        <v>1</v>
      </c>
      <c r="K171" s="63">
        <f>IF(TournamentData[[#This Row],[Team Number]]="","",_xlfn.XLOOKUP(TournamentData[[#This Row],[Team Number]],InnovationProjectResults[Team Number],InnovationProjectResults[Innovation Project Rank],NumberOfTeams+1,0,))</f>
        <v>1</v>
      </c>
      <c r="L171" s="63">
        <f>IF(TournamentData[[#This Row],[Team Number]]="","",_xlfn.XLOOKUP(TournamentData[[#This Row],[Team Number]],RobotDesignResults[Team Number],RobotDesignResults[Robot Design Rank],NumberOfTeams+1,0,))</f>
        <v>1</v>
      </c>
      <c r="M171"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71" s="64">
        <f>IF(TournamentData[[#This Row],[Team Number]]="","",IF(M171,RANK(M171,M$3:M$202,1)-COUNTIF(M$3:M$202,0),NumberOfTeams+1))</f>
        <v>1</v>
      </c>
      <c r="O171" s="70">
        <f>_xlfn.XLOOKUP(TournamentData[[#This Row],[Team Number]],CoreValuesResults[Team Number],CoreValuesResults[Breakthrough Selection],0,0,)</f>
        <v>0</v>
      </c>
      <c r="P171" s="70">
        <f>_xlfn.XLOOKUP(TournamentData[[#This Row],[Team Number]],CoreValuesResults[Team Number],CoreValuesResults[Rising All-Star Selection],0,0,)</f>
        <v>0</v>
      </c>
      <c r="Q171" s="70">
        <f>_xlfn.XLOOKUP(TournamentData[[#This Row],[Team Number]],CoreValuesResults[Team Number],CoreValuesResults[Motivate Selection],0,0,)</f>
        <v>0</v>
      </c>
      <c r="R171" s="66"/>
      <c r="S171" s="66"/>
      <c r="T171" s="67"/>
      <c r="U171" s="63">
        <f>_xlfn.XLOOKUP(TournamentData[[#This Row],[Team Number]],CoreValuesResults[Team Number],CoreValuesResults[Core Values Score],0,0,)</f>
        <v>0</v>
      </c>
      <c r="V171" s="63">
        <f>_xlfn.XLOOKUP(TournamentData[[#This Row],[Team Number]],InnovationProjectResults[Team Number],InnovationProjectResults[Innovation Project Score],0,0,)</f>
        <v>0</v>
      </c>
      <c r="W171" s="63">
        <f>_xlfn.XLOOKUP(TournamentData[[#This Row],[Team Number]],RobotDesignResults[Team Number],RobotDesignResults[Robot Design Score],0,0,)</f>
        <v>0</v>
      </c>
      <c r="X171"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71" s="71">
        <f t="shared" si="5"/>
        <v>0</v>
      </c>
      <c r="Z171" s="66"/>
    </row>
    <row r="172" spans="1:26" ht="21" customHeight="1" x14ac:dyDescent="0.45">
      <c r="A172">
        <f>_xlfn.XLOOKUP(170,OfficialTeamList[Row],OfficialTeamList[Team Number],"ERROR",0)</f>
        <v>0</v>
      </c>
      <c r="B172" s="62" t="str">
        <f>_xlfn.XLOOKUP(TournamentData[[#This Row],[Team Number]],OfficialTeamList[Team Number],OfficialTeamList[Team Name],"",0,)</f>
        <v/>
      </c>
      <c r="C172" s="63">
        <f>IF(TournamentData[[#This Row],[Team Number]]="","",_xlfn.XLOOKUP(TournamentData[[#This Row],[Team Number]],RobotGameScores[Team Number],RobotGameScores[Robot Game 1 Score],0,0,))</f>
        <v>0</v>
      </c>
      <c r="D172" s="63">
        <f>IF(TournamentData[[#This Row],[Team Number]]="","",_xlfn.XLOOKUP(TournamentData[[#This Row],[Team Number]],RobotGameScores[Team Number],RobotGameScores[Robot Game 2 Score],0,0,))</f>
        <v>0</v>
      </c>
      <c r="E172" s="63">
        <f>IF(TournamentData[[#This Row],[Team Number]]="","",_xlfn.XLOOKUP(TournamentData[[#This Row],[Team Number]],RobotGameScores[Team Number],RobotGameScores[Robot Game 3 Score],0,0,))</f>
        <v>0</v>
      </c>
      <c r="F172" s="63">
        <f>IF(TournamentData[[#This Row],[Team Number]]="","",_xlfn.XLOOKUP(TournamentData[[#This Row],[Team Number]],RobotGameScores[Team Number],RobotGameScores[Robot Game 4 Score],0,0,))</f>
        <v>0</v>
      </c>
      <c r="G172" s="63">
        <f>IF(TournamentData[[#This Row],[Team Number]]="","",_xlfn.XLOOKUP(TournamentData[[#This Row],[Team Number]],RobotGameScores[Team Number],RobotGameScores[Robot Game 5 Score],0,0,))</f>
        <v>0</v>
      </c>
      <c r="H172"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72" s="63">
        <f>IF(TournamentData[[#This Row],[Team Number]]="","",_xlfn.RANK.EQ(TournamentData[[#This Row],[Max Robot Game Score]],TournamentData[Max Robot Game Score]))</f>
        <v>1</v>
      </c>
      <c r="J172" s="63">
        <f>IF(TournamentData[[#This Row],[Team Number]]="","",_xlfn.XLOOKUP(TournamentData[[#This Row],[Team Number]],CoreValuesResults[Team Number],CoreValuesResults[Core Values Rank],NumberOfTeams+1,0,))</f>
        <v>1</v>
      </c>
      <c r="K172" s="63">
        <f>IF(TournamentData[[#This Row],[Team Number]]="","",_xlfn.XLOOKUP(TournamentData[[#This Row],[Team Number]],InnovationProjectResults[Team Number],InnovationProjectResults[Innovation Project Rank],NumberOfTeams+1,0,))</f>
        <v>1</v>
      </c>
      <c r="L172" s="63">
        <f>IF(TournamentData[[#This Row],[Team Number]]="","",_xlfn.XLOOKUP(TournamentData[[#This Row],[Team Number]],RobotDesignResults[Team Number],RobotDesignResults[Robot Design Rank],NumberOfTeams+1,0,))</f>
        <v>1</v>
      </c>
      <c r="M172"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72" s="64">
        <f>IF(TournamentData[[#This Row],[Team Number]]="","",IF(M172,RANK(M172,M$3:M$202,1)-COUNTIF(M$3:M$202,0),NumberOfTeams+1))</f>
        <v>1</v>
      </c>
      <c r="O172" s="70">
        <f>_xlfn.XLOOKUP(TournamentData[[#This Row],[Team Number]],CoreValuesResults[Team Number],CoreValuesResults[Breakthrough Selection],0,0,)</f>
        <v>0</v>
      </c>
      <c r="P172" s="70">
        <f>_xlfn.XLOOKUP(TournamentData[[#This Row],[Team Number]],CoreValuesResults[Team Number],CoreValuesResults[Rising All-Star Selection],0,0,)</f>
        <v>0</v>
      </c>
      <c r="Q172" s="70">
        <f>_xlfn.XLOOKUP(TournamentData[[#This Row],[Team Number]],CoreValuesResults[Team Number],CoreValuesResults[Motivate Selection],0,0,)</f>
        <v>0</v>
      </c>
      <c r="R172" s="66"/>
      <c r="S172" s="66"/>
      <c r="T172" s="67"/>
      <c r="U172" s="63">
        <f>_xlfn.XLOOKUP(TournamentData[[#This Row],[Team Number]],CoreValuesResults[Team Number],CoreValuesResults[Core Values Score],0,0,)</f>
        <v>0</v>
      </c>
      <c r="V172" s="63">
        <f>_xlfn.XLOOKUP(TournamentData[[#This Row],[Team Number]],InnovationProjectResults[Team Number],InnovationProjectResults[Innovation Project Score],0,0,)</f>
        <v>0</v>
      </c>
      <c r="W172" s="63">
        <f>_xlfn.XLOOKUP(TournamentData[[#This Row],[Team Number]],RobotDesignResults[Team Number],RobotDesignResults[Robot Design Score],0,0,)</f>
        <v>0</v>
      </c>
      <c r="X172"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72" s="71">
        <f t="shared" si="5"/>
        <v>0</v>
      </c>
      <c r="Z172" s="66"/>
    </row>
    <row r="173" spans="1:26" ht="21" customHeight="1" x14ac:dyDescent="0.45">
      <c r="A173">
        <f>_xlfn.XLOOKUP(171,OfficialTeamList[Row],OfficialTeamList[Team Number],"ERROR",0)</f>
        <v>0</v>
      </c>
      <c r="B173" s="62" t="str">
        <f>_xlfn.XLOOKUP(TournamentData[[#This Row],[Team Number]],OfficialTeamList[Team Number],OfficialTeamList[Team Name],"",0,)</f>
        <v/>
      </c>
      <c r="C173" s="63">
        <f>IF(TournamentData[[#This Row],[Team Number]]="","",_xlfn.XLOOKUP(TournamentData[[#This Row],[Team Number]],RobotGameScores[Team Number],RobotGameScores[Robot Game 1 Score],0,0,))</f>
        <v>0</v>
      </c>
      <c r="D173" s="63">
        <f>IF(TournamentData[[#This Row],[Team Number]]="","",_xlfn.XLOOKUP(TournamentData[[#This Row],[Team Number]],RobotGameScores[Team Number],RobotGameScores[Robot Game 2 Score],0,0,))</f>
        <v>0</v>
      </c>
      <c r="E173" s="63">
        <f>IF(TournamentData[[#This Row],[Team Number]]="","",_xlfn.XLOOKUP(TournamentData[[#This Row],[Team Number]],RobotGameScores[Team Number],RobotGameScores[Robot Game 3 Score],0,0,))</f>
        <v>0</v>
      </c>
      <c r="F173" s="63">
        <f>IF(TournamentData[[#This Row],[Team Number]]="","",_xlfn.XLOOKUP(TournamentData[[#This Row],[Team Number]],RobotGameScores[Team Number],RobotGameScores[Robot Game 4 Score],0,0,))</f>
        <v>0</v>
      </c>
      <c r="G173" s="63">
        <f>IF(TournamentData[[#This Row],[Team Number]]="","",_xlfn.XLOOKUP(TournamentData[[#This Row],[Team Number]],RobotGameScores[Team Number],RobotGameScores[Robot Game 5 Score],0,0,))</f>
        <v>0</v>
      </c>
      <c r="H173"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73" s="63">
        <f>IF(TournamentData[[#This Row],[Team Number]]="","",_xlfn.RANK.EQ(TournamentData[[#This Row],[Max Robot Game Score]],TournamentData[Max Robot Game Score]))</f>
        <v>1</v>
      </c>
      <c r="J173" s="63">
        <f>IF(TournamentData[[#This Row],[Team Number]]="","",_xlfn.XLOOKUP(TournamentData[[#This Row],[Team Number]],CoreValuesResults[Team Number],CoreValuesResults[Core Values Rank],NumberOfTeams+1,0,))</f>
        <v>1</v>
      </c>
      <c r="K173" s="63">
        <f>IF(TournamentData[[#This Row],[Team Number]]="","",_xlfn.XLOOKUP(TournamentData[[#This Row],[Team Number]],InnovationProjectResults[Team Number],InnovationProjectResults[Innovation Project Rank],NumberOfTeams+1,0,))</f>
        <v>1</v>
      </c>
      <c r="L173" s="63">
        <f>IF(TournamentData[[#This Row],[Team Number]]="","",_xlfn.XLOOKUP(TournamentData[[#This Row],[Team Number]],RobotDesignResults[Team Number],RobotDesignResults[Robot Design Rank],NumberOfTeams+1,0,))</f>
        <v>1</v>
      </c>
      <c r="M173"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73" s="64">
        <f>IF(TournamentData[[#This Row],[Team Number]]="","",IF(M173,RANK(M173,M$3:M$202,1)-COUNTIF(M$3:M$202,0),NumberOfTeams+1))</f>
        <v>1</v>
      </c>
      <c r="O173" s="70">
        <f>_xlfn.XLOOKUP(TournamentData[[#This Row],[Team Number]],CoreValuesResults[Team Number],CoreValuesResults[Breakthrough Selection],0,0,)</f>
        <v>0</v>
      </c>
      <c r="P173" s="70">
        <f>_xlfn.XLOOKUP(TournamentData[[#This Row],[Team Number]],CoreValuesResults[Team Number],CoreValuesResults[Rising All-Star Selection],0,0,)</f>
        <v>0</v>
      </c>
      <c r="Q173" s="70">
        <f>_xlfn.XLOOKUP(TournamentData[[#This Row],[Team Number]],CoreValuesResults[Team Number],CoreValuesResults[Motivate Selection],0,0,)</f>
        <v>0</v>
      </c>
      <c r="R173" s="66"/>
      <c r="S173" s="66"/>
      <c r="T173" s="67"/>
      <c r="U173" s="63">
        <f>_xlfn.XLOOKUP(TournamentData[[#This Row],[Team Number]],CoreValuesResults[Team Number],CoreValuesResults[Core Values Score],0,0,)</f>
        <v>0</v>
      </c>
      <c r="V173" s="63">
        <f>_xlfn.XLOOKUP(TournamentData[[#This Row],[Team Number]],InnovationProjectResults[Team Number],InnovationProjectResults[Innovation Project Score],0,0,)</f>
        <v>0</v>
      </c>
      <c r="W173" s="63">
        <f>_xlfn.XLOOKUP(TournamentData[[#This Row],[Team Number]],RobotDesignResults[Team Number],RobotDesignResults[Robot Design Score],0,0,)</f>
        <v>0</v>
      </c>
      <c r="X173"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73" s="71">
        <f t="shared" si="5"/>
        <v>0</v>
      </c>
      <c r="Z173" s="66"/>
    </row>
    <row r="174" spans="1:26" ht="21" customHeight="1" x14ac:dyDescent="0.45">
      <c r="A174">
        <f>_xlfn.XLOOKUP(172,OfficialTeamList[Row],OfficialTeamList[Team Number],"ERROR",0)</f>
        <v>0</v>
      </c>
      <c r="B174" s="62" t="str">
        <f>_xlfn.XLOOKUP(TournamentData[[#This Row],[Team Number]],OfficialTeamList[Team Number],OfficialTeamList[Team Name],"",0,)</f>
        <v/>
      </c>
      <c r="C174" s="63">
        <f>IF(TournamentData[[#This Row],[Team Number]]="","",_xlfn.XLOOKUP(TournamentData[[#This Row],[Team Number]],RobotGameScores[Team Number],RobotGameScores[Robot Game 1 Score],0,0,))</f>
        <v>0</v>
      </c>
      <c r="D174" s="63">
        <f>IF(TournamentData[[#This Row],[Team Number]]="","",_xlfn.XLOOKUP(TournamentData[[#This Row],[Team Number]],RobotGameScores[Team Number],RobotGameScores[Robot Game 2 Score],0,0,))</f>
        <v>0</v>
      </c>
      <c r="E174" s="63">
        <f>IF(TournamentData[[#This Row],[Team Number]]="","",_xlfn.XLOOKUP(TournamentData[[#This Row],[Team Number]],RobotGameScores[Team Number],RobotGameScores[Robot Game 3 Score],0,0,))</f>
        <v>0</v>
      </c>
      <c r="F174" s="63">
        <f>IF(TournamentData[[#This Row],[Team Number]]="","",_xlfn.XLOOKUP(TournamentData[[#This Row],[Team Number]],RobotGameScores[Team Number],RobotGameScores[Robot Game 4 Score],0,0,))</f>
        <v>0</v>
      </c>
      <c r="G174" s="63">
        <f>IF(TournamentData[[#This Row],[Team Number]]="","",_xlfn.XLOOKUP(TournamentData[[#This Row],[Team Number]],RobotGameScores[Team Number],RobotGameScores[Robot Game 5 Score],0,0,))</f>
        <v>0</v>
      </c>
      <c r="H174"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74" s="63">
        <f>IF(TournamentData[[#This Row],[Team Number]]="","",_xlfn.RANK.EQ(TournamentData[[#This Row],[Max Robot Game Score]],TournamentData[Max Robot Game Score]))</f>
        <v>1</v>
      </c>
      <c r="J174" s="63">
        <f>IF(TournamentData[[#This Row],[Team Number]]="","",_xlfn.XLOOKUP(TournamentData[[#This Row],[Team Number]],CoreValuesResults[Team Number],CoreValuesResults[Core Values Rank],NumberOfTeams+1,0,))</f>
        <v>1</v>
      </c>
      <c r="K174" s="63">
        <f>IF(TournamentData[[#This Row],[Team Number]]="","",_xlfn.XLOOKUP(TournamentData[[#This Row],[Team Number]],InnovationProjectResults[Team Number],InnovationProjectResults[Innovation Project Rank],NumberOfTeams+1,0,))</f>
        <v>1</v>
      </c>
      <c r="L174" s="63">
        <f>IF(TournamentData[[#This Row],[Team Number]]="","",_xlfn.XLOOKUP(TournamentData[[#This Row],[Team Number]],RobotDesignResults[Team Number],RobotDesignResults[Robot Design Rank],NumberOfTeams+1,0,))</f>
        <v>1</v>
      </c>
      <c r="M174"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74" s="64">
        <f>IF(TournamentData[[#This Row],[Team Number]]="","",IF(M174,RANK(M174,M$3:M$202,1)-COUNTIF(M$3:M$202,0),NumberOfTeams+1))</f>
        <v>1</v>
      </c>
      <c r="O174" s="70">
        <f>_xlfn.XLOOKUP(TournamentData[[#This Row],[Team Number]],CoreValuesResults[Team Number],CoreValuesResults[Breakthrough Selection],0,0,)</f>
        <v>0</v>
      </c>
      <c r="P174" s="70">
        <f>_xlfn.XLOOKUP(TournamentData[[#This Row],[Team Number]],CoreValuesResults[Team Number],CoreValuesResults[Rising All-Star Selection],0,0,)</f>
        <v>0</v>
      </c>
      <c r="Q174" s="70">
        <f>_xlfn.XLOOKUP(TournamentData[[#This Row],[Team Number]],CoreValuesResults[Team Number],CoreValuesResults[Motivate Selection],0,0,)</f>
        <v>0</v>
      </c>
      <c r="R174" s="66"/>
      <c r="S174" s="66"/>
      <c r="T174" s="67"/>
      <c r="U174" s="63">
        <f>_xlfn.XLOOKUP(TournamentData[[#This Row],[Team Number]],CoreValuesResults[Team Number],CoreValuesResults[Core Values Score],0,0,)</f>
        <v>0</v>
      </c>
      <c r="V174" s="63">
        <f>_xlfn.XLOOKUP(TournamentData[[#This Row],[Team Number]],InnovationProjectResults[Team Number],InnovationProjectResults[Innovation Project Score],0,0,)</f>
        <v>0</v>
      </c>
      <c r="W174" s="63">
        <f>_xlfn.XLOOKUP(TournamentData[[#This Row],[Team Number]],RobotDesignResults[Team Number],RobotDesignResults[Robot Design Score],0,0,)</f>
        <v>0</v>
      </c>
      <c r="X174"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74" s="71">
        <f t="shared" si="5"/>
        <v>0</v>
      </c>
      <c r="Z174" s="66"/>
    </row>
    <row r="175" spans="1:26" ht="21" customHeight="1" x14ac:dyDescent="0.45">
      <c r="A175">
        <f>_xlfn.XLOOKUP(173,OfficialTeamList[Row],OfficialTeamList[Team Number],"ERROR",0)</f>
        <v>0</v>
      </c>
      <c r="B175" s="62" t="str">
        <f>_xlfn.XLOOKUP(TournamentData[[#This Row],[Team Number]],OfficialTeamList[Team Number],OfficialTeamList[Team Name],"",0,)</f>
        <v/>
      </c>
      <c r="C175" s="63">
        <f>IF(TournamentData[[#This Row],[Team Number]]="","",_xlfn.XLOOKUP(TournamentData[[#This Row],[Team Number]],RobotGameScores[Team Number],RobotGameScores[Robot Game 1 Score],0,0,))</f>
        <v>0</v>
      </c>
      <c r="D175" s="63">
        <f>IF(TournamentData[[#This Row],[Team Number]]="","",_xlfn.XLOOKUP(TournamentData[[#This Row],[Team Number]],RobotGameScores[Team Number],RobotGameScores[Robot Game 2 Score],0,0,))</f>
        <v>0</v>
      </c>
      <c r="E175" s="63">
        <f>IF(TournamentData[[#This Row],[Team Number]]="","",_xlfn.XLOOKUP(TournamentData[[#This Row],[Team Number]],RobotGameScores[Team Number],RobotGameScores[Robot Game 3 Score],0,0,))</f>
        <v>0</v>
      </c>
      <c r="F175" s="63">
        <f>IF(TournamentData[[#This Row],[Team Number]]="","",_xlfn.XLOOKUP(TournamentData[[#This Row],[Team Number]],RobotGameScores[Team Number],RobotGameScores[Robot Game 4 Score],0,0,))</f>
        <v>0</v>
      </c>
      <c r="G175" s="63">
        <f>IF(TournamentData[[#This Row],[Team Number]]="","",_xlfn.XLOOKUP(TournamentData[[#This Row],[Team Number]],RobotGameScores[Team Number],RobotGameScores[Robot Game 5 Score],0,0,))</f>
        <v>0</v>
      </c>
      <c r="H175"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75" s="63">
        <f>IF(TournamentData[[#This Row],[Team Number]]="","",_xlfn.RANK.EQ(TournamentData[[#This Row],[Max Robot Game Score]],TournamentData[Max Robot Game Score]))</f>
        <v>1</v>
      </c>
      <c r="J175" s="63">
        <f>IF(TournamentData[[#This Row],[Team Number]]="","",_xlfn.XLOOKUP(TournamentData[[#This Row],[Team Number]],CoreValuesResults[Team Number],CoreValuesResults[Core Values Rank],NumberOfTeams+1,0,))</f>
        <v>1</v>
      </c>
      <c r="K175" s="63">
        <f>IF(TournamentData[[#This Row],[Team Number]]="","",_xlfn.XLOOKUP(TournamentData[[#This Row],[Team Number]],InnovationProjectResults[Team Number],InnovationProjectResults[Innovation Project Rank],NumberOfTeams+1,0,))</f>
        <v>1</v>
      </c>
      <c r="L175" s="63">
        <f>IF(TournamentData[[#This Row],[Team Number]]="","",_xlfn.XLOOKUP(TournamentData[[#This Row],[Team Number]],RobotDesignResults[Team Number],RobotDesignResults[Robot Design Rank],NumberOfTeams+1,0,))</f>
        <v>1</v>
      </c>
      <c r="M175"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75" s="64">
        <f>IF(TournamentData[[#This Row],[Team Number]]="","",IF(M175,RANK(M175,M$3:M$202,1)-COUNTIF(M$3:M$202,0),NumberOfTeams+1))</f>
        <v>1</v>
      </c>
      <c r="O175" s="70">
        <f>_xlfn.XLOOKUP(TournamentData[[#This Row],[Team Number]],CoreValuesResults[Team Number],CoreValuesResults[Breakthrough Selection],0,0,)</f>
        <v>0</v>
      </c>
      <c r="P175" s="70">
        <f>_xlfn.XLOOKUP(TournamentData[[#This Row],[Team Number]],CoreValuesResults[Team Number],CoreValuesResults[Rising All-Star Selection],0,0,)</f>
        <v>0</v>
      </c>
      <c r="Q175" s="70">
        <f>_xlfn.XLOOKUP(TournamentData[[#This Row],[Team Number]],CoreValuesResults[Team Number],CoreValuesResults[Motivate Selection],0,0,)</f>
        <v>0</v>
      </c>
      <c r="R175" s="66"/>
      <c r="S175" s="66"/>
      <c r="T175" s="67"/>
      <c r="U175" s="63">
        <f>_xlfn.XLOOKUP(TournamentData[[#This Row],[Team Number]],CoreValuesResults[Team Number],CoreValuesResults[Core Values Score],0,0,)</f>
        <v>0</v>
      </c>
      <c r="V175" s="63">
        <f>_xlfn.XLOOKUP(TournamentData[[#This Row],[Team Number]],InnovationProjectResults[Team Number],InnovationProjectResults[Innovation Project Score],0,0,)</f>
        <v>0</v>
      </c>
      <c r="W175" s="63">
        <f>_xlfn.XLOOKUP(TournamentData[[#This Row],[Team Number]],RobotDesignResults[Team Number],RobotDesignResults[Robot Design Score],0,0,)</f>
        <v>0</v>
      </c>
      <c r="X175"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75" s="71">
        <f t="shared" si="5"/>
        <v>0</v>
      </c>
      <c r="Z175" s="66"/>
    </row>
    <row r="176" spans="1:26" ht="21" customHeight="1" x14ac:dyDescent="0.45">
      <c r="A176">
        <f>_xlfn.XLOOKUP(174,OfficialTeamList[Row],OfficialTeamList[Team Number],"ERROR",0)</f>
        <v>0</v>
      </c>
      <c r="B176" s="62" t="str">
        <f>_xlfn.XLOOKUP(TournamentData[[#This Row],[Team Number]],OfficialTeamList[Team Number],OfficialTeamList[Team Name],"",0,)</f>
        <v/>
      </c>
      <c r="C176" s="63">
        <f>IF(TournamentData[[#This Row],[Team Number]]="","",_xlfn.XLOOKUP(TournamentData[[#This Row],[Team Number]],RobotGameScores[Team Number],RobotGameScores[Robot Game 1 Score],0,0,))</f>
        <v>0</v>
      </c>
      <c r="D176" s="63">
        <f>IF(TournamentData[[#This Row],[Team Number]]="","",_xlfn.XLOOKUP(TournamentData[[#This Row],[Team Number]],RobotGameScores[Team Number],RobotGameScores[Robot Game 2 Score],0,0,))</f>
        <v>0</v>
      </c>
      <c r="E176" s="63">
        <f>IF(TournamentData[[#This Row],[Team Number]]="","",_xlfn.XLOOKUP(TournamentData[[#This Row],[Team Number]],RobotGameScores[Team Number],RobotGameScores[Robot Game 3 Score],0,0,))</f>
        <v>0</v>
      </c>
      <c r="F176" s="63">
        <f>IF(TournamentData[[#This Row],[Team Number]]="","",_xlfn.XLOOKUP(TournamentData[[#This Row],[Team Number]],RobotGameScores[Team Number],RobotGameScores[Robot Game 4 Score],0,0,))</f>
        <v>0</v>
      </c>
      <c r="G176" s="63">
        <f>IF(TournamentData[[#This Row],[Team Number]]="","",_xlfn.XLOOKUP(TournamentData[[#This Row],[Team Number]],RobotGameScores[Team Number],RobotGameScores[Robot Game 5 Score],0,0,))</f>
        <v>0</v>
      </c>
      <c r="H176"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76" s="63">
        <f>IF(TournamentData[[#This Row],[Team Number]]="","",_xlfn.RANK.EQ(TournamentData[[#This Row],[Max Robot Game Score]],TournamentData[Max Robot Game Score]))</f>
        <v>1</v>
      </c>
      <c r="J176" s="63">
        <f>IF(TournamentData[[#This Row],[Team Number]]="","",_xlfn.XLOOKUP(TournamentData[[#This Row],[Team Number]],CoreValuesResults[Team Number],CoreValuesResults[Core Values Rank],NumberOfTeams+1,0,))</f>
        <v>1</v>
      </c>
      <c r="K176" s="63">
        <f>IF(TournamentData[[#This Row],[Team Number]]="","",_xlfn.XLOOKUP(TournamentData[[#This Row],[Team Number]],InnovationProjectResults[Team Number],InnovationProjectResults[Innovation Project Rank],NumberOfTeams+1,0,))</f>
        <v>1</v>
      </c>
      <c r="L176" s="63">
        <f>IF(TournamentData[[#This Row],[Team Number]]="","",_xlfn.XLOOKUP(TournamentData[[#This Row],[Team Number]],RobotDesignResults[Team Number],RobotDesignResults[Robot Design Rank],NumberOfTeams+1,0,))</f>
        <v>1</v>
      </c>
      <c r="M176"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76" s="64">
        <f>IF(TournamentData[[#This Row],[Team Number]]="","",IF(M176,RANK(M176,M$3:M$202,1)-COUNTIF(M$3:M$202,0),NumberOfTeams+1))</f>
        <v>1</v>
      </c>
      <c r="O176" s="70">
        <f>_xlfn.XLOOKUP(TournamentData[[#This Row],[Team Number]],CoreValuesResults[Team Number],CoreValuesResults[Breakthrough Selection],0,0,)</f>
        <v>0</v>
      </c>
      <c r="P176" s="70">
        <f>_xlfn.XLOOKUP(TournamentData[[#This Row],[Team Number]],CoreValuesResults[Team Number],CoreValuesResults[Rising All-Star Selection],0,0,)</f>
        <v>0</v>
      </c>
      <c r="Q176" s="70">
        <f>_xlfn.XLOOKUP(TournamentData[[#This Row],[Team Number]],CoreValuesResults[Team Number],CoreValuesResults[Motivate Selection],0,0,)</f>
        <v>0</v>
      </c>
      <c r="R176" s="66"/>
      <c r="S176" s="66"/>
      <c r="T176" s="67"/>
      <c r="U176" s="63">
        <f>_xlfn.XLOOKUP(TournamentData[[#This Row],[Team Number]],CoreValuesResults[Team Number],CoreValuesResults[Core Values Score],0,0,)</f>
        <v>0</v>
      </c>
      <c r="V176" s="63">
        <f>_xlfn.XLOOKUP(TournamentData[[#This Row],[Team Number]],InnovationProjectResults[Team Number],InnovationProjectResults[Innovation Project Score],0,0,)</f>
        <v>0</v>
      </c>
      <c r="W176" s="63">
        <f>_xlfn.XLOOKUP(TournamentData[[#This Row],[Team Number]],RobotDesignResults[Team Number],RobotDesignResults[Robot Design Score],0,0,)</f>
        <v>0</v>
      </c>
      <c r="X176"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76" s="71">
        <f t="shared" si="5"/>
        <v>0</v>
      </c>
      <c r="Z176" s="66"/>
    </row>
    <row r="177" spans="1:26" ht="21" customHeight="1" x14ac:dyDescent="0.45">
      <c r="A177">
        <f>_xlfn.XLOOKUP(175,OfficialTeamList[Row],OfficialTeamList[Team Number],"ERROR",0)</f>
        <v>0</v>
      </c>
      <c r="B177" s="62" t="str">
        <f>_xlfn.XLOOKUP(TournamentData[[#This Row],[Team Number]],OfficialTeamList[Team Number],OfficialTeamList[Team Name],"",0,)</f>
        <v/>
      </c>
      <c r="C177" s="63">
        <f>IF(TournamentData[[#This Row],[Team Number]]="","",_xlfn.XLOOKUP(TournamentData[[#This Row],[Team Number]],RobotGameScores[Team Number],RobotGameScores[Robot Game 1 Score],0,0,))</f>
        <v>0</v>
      </c>
      <c r="D177" s="63">
        <f>IF(TournamentData[[#This Row],[Team Number]]="","",_xlfn.XLOOKUP(TournamentData[[#This Row],[Team Number]],RobotGameScores[Team Number],RobotGameScores[Robot Game 2 Score],0,0,))</f>
        <v>0</v>
      </c>
      <c r="E177" s="63">
        <f>IF(TournamentData[[#This Row],[Team Number]]="","",_xlfn.XLOOKUP(TournamentData[[#This Row],[Team Number]],RobotGameScores[Team Number],RobotGameScores[Robot Game 3 Score],0,0,))</f>
        <v>0</v>
      </c>
      <c r="F177" s="63">
        <f>IF(TournamentData[[#This Row],[Team Number]]="","",_xlfn.XLOOKUP(TournamentData[[#This Row],[Team Number]],RobotGameScores[Team Number],RobotGameScores[Robot Game 4 Score],0,0,))</f>
        <v>0</v>
      </c>
      <c r="G177" s="63">
        <f>IF(TournamentData[[#This Row],[Team Number]]="","",_xlfn.XLOOKUP(TournamentData[[#This Row],[Team Number]],RobotGameScores[Team Number],RobotGameScores[Robot Game 5 Score],0,0,))</f>
        <v>0</v>
      </c>
      <c r="H177"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77" s="63">
        <f>IF(TournamentData[[#This Row],[Team Number]]="","",_xlfn.RANK.EQ(TournamentData[[#This Row],[Max Robot Game Score]],TournamentData[Max Robot Game Score]))</f>
        <v>1</v>
      </c>
      <c r="J177" s="63">
        <f>IF(TournamentData[[#This Row],[Team Number]]="","",_xlfn.XLOOKUP(TournamentData[[#This Row],[Team Number]],CoreValuesResults[Team Number],CoreValuesResults[Core Values Rank],NumberOfTeams+1,0,))</f>
        <v>1</v>
      </c>
      <c r="K177" s="63">
        <f>IF(TournamentData[[#This Row],[Team Number]]="","",_xlfn.XLOOKUP(TournamentData[[#This Row],[Team Number]],InnovationProjectResults[Team Number],InnovationProjectResults[Innovation Project Rank],NumberOfTeams+1,0,))</f>
        <v>1</v>
      </c>
      <c r="L177" s="63">
        <f>IF(TournamentData[[#This Row],[Team Number]]="","",_xlfn.XLOOKUP(TournamentData[[#This Row],[Team Number]],RobotDesignResults[Team Number],RobotDesignResults[Robot Design Rank],NumberOfTeams+1,0,))</f>
        <v>1</v>
      </c>
      <c r="M177"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77" s="64">
        <f>IF(TournamentData[[#This Row],[Team Number]]="","",IF(M177,RANK(M177,M$3:M$202,1)-COUNTIF(M$3:M$202,0),NumberOfTeams+1))</f>
        <v>1</v>
      </c>
      <c r="O177" s="70">
        <f>_xlfn.XLOOKUP(TournamentData[[#This Row],[Team Number]],CoreValuesResults[Team Number],CoreValuesResults[Breakthrough Selection],0,0,)</f>
        <v>0</v>
      </c>
      <c r="P177" s="70">
        <f>_xlfn.XLOOKUP(TournamentData[[#This Row],[Team Number]],CoreValuesResults[Team Number],CoreValuesResults[Rising All-Star Selection],0,0,)</f>
        <v>0</v>
      </c>
      <c r="Q177" s="70">
        <f>_xlfn.XLOOKUP(TournamentData[[#This Row],[Team Number]],CoreValuesResults[Team Number],CoreValuesResults[Motivate Selection],0,0,)</f>
        <v>0</v>
      </c>
      <c r="R177" s="66"/>
      <c r="S177" s="66"/>
      <c r="T177" s="67"/>
      <c r="U177" s="63">
        <f>_xlfn.XLOOKUP(TournamentData[[#This Row],[Team Number]],CoreValuesResults[Team Number],CoreValuesResults[Core Values Score],0,0,)</f>
        <v>0</v>
      </c>
      <c r="V177" s="63">
        <f>_xlfn.XLOOKUP(TournamentData[[#This Row],[Team Number]],InnovationProjectResults[Team Number],InnovationProjectResults[Innovation Project Score],0,0,)</f>
        <v>0</v>
      </c>
      <c r="W177" s="63">
        <f>_xlfn.XLOOKUP(TournamentData[[#This Row],[Team Number]],RobotDesignResults[Team Number],RobotDesignResults[Robot Design Score],0,0,)</f>
        <v>0</v>
      </c>
      <c r="X177"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77" s="71">
        <f t="shared" si="5"/>
        <v>0</v>
      </c>
      <c r="Z177" s="66"/>
    </row>
    <row r="178" spans="1:26" ht="21" customHeight="1" x14ac:dyDescent="0.45">
      <c r="A178">
        <f>_xlfn.XLOOKUP(176,OfficialTeamList[Row],OfficialTeamList[Team Number],"ERROR",0)</f>
        <v>0</v>
      </c>
      <c r="B178" s="62" t="str">
        <f>_xlfn.XLOOKUP(TournamentData[[#This Row],[Team Number]],OfficialTeamList[Team Number],OfficialTeamList[Team Name],"",0,)</f>
        <v/>
      </c>
      <c r="C178" s="63">
        <f>IF(TournamentData[[#This Row],[Team Number]]="","",_xlfn.XLOOKUP(TournamentData[[#This Row],[Team Number]],RobotGameScores[Team Number],RobotGameScores[Robot Game 1 Score],0,0,))</f>
        <v>0</v>
      </c>
      <c r="D178" s="63">
        <f>IF(TournamentData[[#This Row],[Team Number]]="","",_xlfn.XLOOKUP(TournamentData[[#This Row],[Team Number]],RobotGameScores[Team Number],RobotGameScores[Robot Game 2 Score],0,0,))</f>
        <v>0</v>
      </c>
      <c r="E178" s="63">
        <f>IF(TournamentData[[#This Row],[Team Number]]="","",_xlfn.XLOOKUP(TournamentData[[#This Row],[Team Number]],RobotGameScores[Team Number],RobotGameScores[Robot Game 3 Score],0,0,))</f>
        <v>0</v>
      </c>
      <c r="F178" s="63">
        <f>IF(TournamentData[[#This Row],[Team Number]]="","",_xlfn.XLOOKUP(TournamentData[[#This Row],[Team Number]],RobotGameScores[Team Number],RobotGameScores[Robot Game 4 Score],0,0,))</f>
        <v>0</v>
      </c>
      <c r="G178" s="63">
        <f>IF(TournamentData[[#This Row],[Team Number]]="","",_xlfn.XLOOKUP(TournamentData[[#This Row],[Team Number]],RobotGameScores[Team Number],RobotGameScores[Robot Game 5 Score],0,0,))</f>
        <v>0</v>
      </c>
      <c r="H178"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78" s="63">
        <f>IF(TournamentData[[#This Row],[Team Number]]="","",_xlfn.RANK.EQ(TournamentData[[#This Row],[Max Robot Game Score]],TournamentData[Max Robot Game Score]))</f>
        <v>1</v>
      </c>
      <c r="J178" s="63">
        <f>IF(TournamentData[[#This Row],[Team Number]]="","",_xlfn.XLOOKUP(TournamentData[[#This Row],[Team Number]],CoreValuesResults[Team Number],CoreValuesResults[Core Values Rank],NumberOfTeams+1,0,))</f>
        <v>1</v>
      </c>
      <c r="K178" s="63">
        <f>IF(TournamentData[[#This Row],[Team Number]]="","",_xlfn.XLOOKUP(TournamentData[[#This Row],[Team Number]],InnovationProjectResults[Team Number],InnovationProjectResults[Innovation Project Rank],NumberOfTeams+1,0,))</f>
        <v>1</v>
      </c>
      <c r="L178" s="63">
        <f>IF(TournamentData[[#This Row],[Team Number]]="","",_xlfn.XLOOKUP(TournamentData[[#This Row],[Team Number]],RobotDesignResults[Team Number],RobotDesignResults[Robot Design Rank],NumberOfTeams+1,0,))</f>
        <v>1</v>
      </c>
      <c r="M178"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78" s="64">
        <f>IF(TournamentData[[#This Row],[Team Number]]="","",IF(M178,RANK(M178,M$3:M$202,1)-COUNTIF(M$3:M$202,0),NumberOfTeams+1))</f>
        <v>1</v>
      </c>
      <c r="O178" s="70">
        <f>_xlfn.XLOOKUP(TournamentData[[#This Row],[Team Number]],CoreValuesResults[Team Number],CoreValuesResults[Breakthrough Selection],0,0,)</f>
        <v>0</v>
      </c>
      <c r="P178" s="70">
        <f>_xlfn.XLOOKUP(TournamentData[[#This Row],[Team Number]],CoreValuesResults[Team Number],CoreValuesResults[Rising All-Star Selection],0,0,)</f>
        <v>0</v>
      </c>
      <c r="Q178" s="70">
        <f>_xlfn.XLOOKUP(TournamentData[[#This Row],[Team Number]],CoreValuesResults[Team Number],CoreValuesResults[Motivate Selection],0,0,)</f>
        <v>0</v>
      </c>
      <c r="R178" s="66"/>
      <c r="S178" s="66"/>
      <c r="T178" s="67"/>
      <c r="U178" s="63">
        <f>_xlfn.XLOOKUP(TournamentData[[#This Row],[Team Number]],CoreValuesResults[Team Number],CoreValuesResults[Core Values Score],0,0,)</f>
        <v>0</v>
      </c>
      <c r="V178" s="63">
        <f>_xlfn.XLOOKUP(TournamentData[[#This Row],[Team Number]],InnovationProjectResults[Team Number],InnovationProjectResults[Innovation Project Score],0,0,)</f>
        <v>0</v>
      </c>
      <c r="W178" s="63">
        <f>_xlfn.XLOOKUP(TournamentData[[#This Row],[Team Number]],RobotDesignResults[Team Number],RobotDesignResults[Robot Design Score],0,0,)</f>
        <v>0</v>
      </c>
      <c r="X178"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78" s="71">
        <f t="shared" si="5"/>
        <v>0</v>
      </c>
      <c r="Z178" s="66"/>
    </row>
    <row r="179" spans="1:26" ht="21" customHeight="1" x14ac:dyDescent="0.45">
      <c r="A179">
        <f>_xlfn.XLOOKUP(177,OfficialTeamList[Row],OfficialTeamList[Team Number],"ERROR",0)</f>
        <v>0</v>
      </c>
      <c r="B179" s="62" t="str">
        <f>_xlfn.XLOOKUP(TournamentData[[#This Row],[Team Number]],OfficialTeamList[Team Number],OfficialTeamList[Team Name],"",0,)</f>
        <v/>
      </c>
      <c r="C179" s="63">
        <f>IF(TournamentData[[#This Row],[Team Number]]="","",_xlfn.XLOOKUP(TournamentData[[#This Row],[Team Number]],RobotGameScores[Team Number],RobotGameScores[Robot Game 1 Score],0,0,))</f>
        <v>0</v>
      </c>
      <c r="D179" s="63">
        <f>IF(TournamentData[[#This Row],[Team Number]]="","",_xlfn.XLOOKUP(TournamentData[[#This Row],[Team Number]],RobotGameScores[Team Number],RobotGameScores[Robot Game 2 Score],0,0,))</f>
        <v>0</v>
      </c>
      <c r="E179" s="63">
        <f>IF(TournamentData[[#This Row],[Team Number]]="","",_xlfn.XLOOKUP(TournamentData[[#This Row],[Team Number]],RobotGameScores[Team Number],RobotGameScores[Robot Game 3 Score],0,0,))</f>
        <v>0</v>
      </c>
      <c r="F179" s="63">
        <f>IF(TournamentData[[#This Row],[Team Number]]="","",_xlfn.XLOOKUP(TournamentData[[#This Row],[Team Number]],RobotGameScores[Team Number],RobotGameScores[Robot Game 4 Score],0,0,))</f>
        <v>0</v>
      </c>
      <c r="G179" s="63">
        <f>IF(TournamentData[[#This Row],[Team Number]]="","",_xlfn.XLOOKUP(TournamentData[[#This Row],[Team Number]],RobotGameScores[Team Number],RobotGameScores[Robot Game 5 Score],0,0,))</f>
        <v>0</v>
      </c>
      <c r="H179"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79" s="63">
        <f>IF(TournamentData[[#This Row],[Team Number]]="","",_xlfn.RANK.EQ(TournamentData[[#This Row],[Max Robot Game Score]],TournamentData[Max Robot Game Score]))</f>
        <v>1</v>
      </c>
      <c r="J179" s="63">
        <f>IF(TournamentData[[#This Row],[Team Number]]="","",_xlfn.XLOOKUP(TournamentData[[#This Row],[Team Number]],CoreValuesResults[Team Number],CoreValuesResults[Core Values Rank],NumberOfTeams+1,0,))</f>
        <v>1</v>
      </c>
      <c r="K179" s="63">
        <f>IF(TournamentData[[#This Row],[Team Number]]="","",_xlfn.XLOOKUP(TournamentData[[#This Row],[Team Number]],InnovationProjectResults[Team Number],InnovationProjectResults[Innovation Project Rank],NumberOfTeams+1,0,))</f>
        <v>1</v>
      </c>
      <c r="L179" s="63">
        <f>IF(TournamentData[[#This Row],[Team Number]]="","",_xlfn.XLOOKUP(TournamentData[[#This Row],[Team Number]],RobotDesignResults[Team Number],RobotDesignResults[Robot Design Rank],NumberOfTeams+1,0,))</f>
        <v>1</v>
      </c>
      <c r="M179"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79" s="64">
        <f>IF(TournamentData[[#This Row],[Team Number]]="","",IF(M179,RANK(M179,M$3:M$202,1)-COUNTIF(M$3:M$202,0),NumberOfTeams+1))</f>
        <v>1</v>
      </c>
      <c r="O179" s="70">
        <f>_xlfn.XLOOKUP(TournamentData[[#This Row],[Team Number]],CoreValuesResults[Team Number],CoreValuesResults[Breakthrough Selection],0,0,)</f>
        <v>0</v>
      </c>
      <c r="P179" s="70">
        <f>_xlfn.XLOOKUP(TournamentData[[#This Row],[Team Number]],CoreValuesResults[Team Number],CoreValuesResults[Rising All-Star Selection],0,0,)</f>
        <v>0</v>
      </c>
      <c r="Q179" s="70">
        <f>_xlfn.XLOOKUP(TournamentData[[#This Row],[Team Number]],CoreValuesResults[Team Number],CoreValuesResults[Motivate Selection],0,0,)</f>
        <v>0</v>
      </c>
      <c r="R179" s="66"/>
      <c r="S179" s="66"/>
      <c r="T179" s="67"/>
      <c r="U179" s="63">
        <f>_xlfn.XLOOKUP(TournamentData[[#This Row],[Team Number]],CoreValuesResults[Team Number],CoreValuesResults[Core Values Score],0,0,)</f>
        <v>0</v>
      </c>
      <c r="V179" s="63">
        <f>_xlfn.XLOOKUP(TournamentData[[#This Row],[Team Number]],InnovationProjectResults[Team Number],InnovationProjectResults[Innovation Project Score],0,0,)</f>
        <v>0</v>
      </c>
      <c r="W179" s="63">
        <f>_xlfn.XLOOKUP(TournamentData[[#This Row],[Team Number]],RobotDesignResults[Team Number],RobotDesignResults[Robot Design Score],0,0,)</f>
        <v>0</v>
      </c>
      <c r="X179"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79" s="71">
        <f t="shared" si="5"/>
        <v>0</v>
      </c>
      <c r="Z179" s="66"/>
    </row>
    <row r="180" spans="1:26" ht="21" customHeight="1" x14ac:dyDescent="0.45">
      <c r="A180">
        <f>_xlfn.XLOOKUP(178,OfficialTeamList[Row],OfficialTeamList[Team Number],"ERROR",0)</f>
        <v>0</v>
      </c>
      <c r="B180" s="62" t="str">
        <f>_xlfn.XLOOKUP(TournamentData[[#This Row],[Team Number]],OfficialTeamList[Team Number],OfficialTeamList[Team Name],"",0,)</f>
        <v/>
      </c>
      <c r="C180" s="63">
        <f>IF(TournamentData[[#This Row],[Team Number]]="","",_xlfn.XLOOKUP(TournamentData[[#This Row],[Team Number]],RobotGameScores[Team Number],RobotGameScores[Robot Game 1 Score],0,0,))</f>
        <v>0</v>
      </c>
      <c r="D180" s="63">
        <f>IF(TournamentData[[#This Row],[Team Number]]="","",_xlfn.XLOOKUP(TournamentData[[#This Row],[Team Number]],RobotGameScores[Team Number],RobotGameScores[Robot Game 2 Score],0,0,))</f>
        <v>0</v>
      </c>
      <c r="E180" s="63">
        <f>IF(TournamentData[[#This Row],[Team Number]]="","",_xlfn.XLOOKUP(TournamentData[[#This Row],[Team Number]],RobotGameScores[Team Number],RobotGameScores[Robot Game 3 Score],0,0,))</f>
        <v>0</v>
      </c>
      <c r="F180" s="63">
        <f>IF(TournamentData[[#This Row],[Team Number]]="","",_xlfn.XLOOKUP(TournamentData[[#This Row],[Team Number]],RobotGameScores[Team Number],RobotGameScores[Robot Game 4 Score],0,0,))</f>
        <v>0</v>
      </c>
      <c r="G180" s="63">
        <f>IF(TournamentData[[#This Row],[Team Number]]="","",_xlfn.XLOOKUP(TournamentData[[#This Row],[Team Number]],RobotGameScores[Team Number],RobotGameScores[Robot Game 5 Score],0,0,))</f>
        <v>0</v>
      </c>
      <c r="H180"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80" s="63">
        <f>IF(TournamentData[[#This Row],[Team Number]]="","",_xlfn.RANK.EQ(TournamentData[[#This Row],[Max Robot Game Score]],TournamentData[Max Robot Game Score]))</f>
        <v>1</v>
      </c>
      <c r="J180" s="63">
        <f>IF(TournamentData[[#This Row],[Team Number]]="","",_xlfn.XLOOKUP(TournamentData[[#This Row],[Team Number]],CoreValuesResults[Team Number],CoreValuesResults[Core Values Rank],NumberOfTeams+1,0,))</f>
        <v>1</v>
      </c>
      <c r="K180" s="63">
        <f>IF(TournamentData[[#This Row],[Team Number]]="","",_xlfn.XLOOKUP(TournamentData[[#This Row],[Team Number]],InnovationProjectResults[Team Number],InnovationProjectResults[Innovation Project Rank],NumberOfTeams+1,0,))</f>
        <v>1</v>
      </c>
      <c r="L180" s="63">
        <f>IF(TournamentData[[#This Row],[Team Number]]="","",_xlfn.XLOOKUP(TournamentData[[#This Row],[Team Number]],RobotDesignResults[Team Number],RobotDesignResults[Robot Design Rank],NumberOfTeams+1,0,))</f>
        <v>1</v>
      </c>
      <c r="M180"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80" s="64">
        <f>IF(TournamentData[[#This Row],[Team Number]]="","",IF(M180,RANK(M180,M$3:M$202,1)-COUNTIF(M$3:M$202,0),NumberOfTeams+1))</f>
        <v>1</v>
      </c>
      <c r="O180" s="70">
        <f>_xlfn.XLOOKUP(TournamentData[[#This Row],[Team Number]],CoreValuesResults[Team Number],CoreValuesResults[Breakthrough Selection],0,0,)</f>
        <v>0</v>
      </c>
      <c r="P180" s="70">
        <f>_xlfn.XLOOKUP(TournamentData[[#This Row],[Team Number]],CoreValuesResults[Team Number],CoreValuesResults[Rising All-Star Selection],0,0,)</f>
        <v>0</v>
      </c>
      <c r="Q180" s="70">
        <f>_xlfn.XLOOKUP(TournamentData[[#This Row],[Team Number]],CoreValuesResults[Team Number],CoreValuesResults[Motivate Selection],0,0,)</f>
        <v>0</v>
      </c>
      <c r="R180" s="66"/>
      <c r="S180" s="66"/>
      <c r="T180" s="67"/>
      <c r="U180" s="63">
        <f>_xlfn.XLOOKUP(TournamentData[[#This Row],[Team Number]],CoreValuesResults[Team Number],CoreValuesResults[Core Values Score],0,0,)</f>
        <v>0</v>
      </c>
      <c r="V180" s="63">
        <f>_xlfn.XLOOKUP(TournamentData[[#This Row],[Team Number]],InnovationProjectResults[Team Number],InnovationProjectResults[Innovation Project Score],0,0,)</f>
        <v>0</v>
      </c>
      <c r="W180" s="63">
        <f>_xlfn.XLOOKUP(TournamentData[[#This Row],[Team Number]],RobotDesignResults[Team Number],RobotDesignResults[Robot Design Score],0,0,)</f>
        <v>0</v>
      </c>
      <c r="X180"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80" s="71">
        <f t="shared" si="5"/>
        <v>0</v>
      </c>
      <c r="Z180" s="66"/>
    </row>
    <row r="181" spans="1:26" ht="21" customHeight="1" x14ac:dyDescent="0.45">
      <c r="A181">
        <f>_xlfn.XLOOKUP(179,OfficialTeamList[Row],OfficialTeamList[Team Number],"ERROR",0)</f>
        <v>0</v>
      </c>
      <c r="B181" s="62" t="str">
        <f>_xlfn.XLOOKUP(TournamentData[[#This Row],[Team Number]],OfficialTeamList[Team Number],OfficialTeamList[Team Name],"",0,)</f>
        <v/>
      </c>
      <c r="C181" s="63">
        <f>IF(TournamentData[[#This Row],[Team Number]]="","",_xlfn.XLOOKUP(TournamentData[[#This Row],[Team Number]],RobotGameScores[Team Number],RobotGameScores[Robot Game 1 Score],0,0,))</f>
        <v>0</v>
      </c>
      <c r="D181" s="63">
        <f>IF(TournamentData[[#This Row],[Team Number]]="","",_xlfn.XLOOKUP(TournamentData[[#This Row],[Team Number]],RobotGameScores[Team Number],RobotGameScores[Robot Game 2 Score],0,0,))</f>
        <v>0</v>
      </c>
      <c r="E181" s="63">
        <f>IF(TournamentData[[#This Row],[Team Number]]="","",_xlfn.XLOOKUP(TournamentData[[#This Row],[Team Number]],RobotGameScores[Team Number],RobotGameScores[Robot Game 3 Score],0,0,))</f>
        <v>0</v>
      </c>
      <c r="F181" s="63">
        <f>IF(TournamentData[[#This Row],[Team Number]]="","",_xlfn.XLOOKUP(TournamentData[[#This Row],[Team Number]],RobotGameScores[Team Number],RobotGameScores[Robot Game 4 Score],0,0,))</f>
        <v>0</v>
      </c>
      <c r="G181" s="63">
        <f>IF(TournamentData[[#This Row],[Team Number]]="","",_xlfn.XLOOKUP(TournamentData[[#This Row],[Team Number]],RobotGameScores[Team Number],RobotGameScores[Robot Game 5 Score],0,0,))</f>
        <v>0</v>
      </c>
      <c r="H181"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81" s="63">
        <f>IF(TournamentData[[#This Row],[Team Number]]="","",_xlfn.RANK.EQ(TournamentData[[#This Row],[Max Robot Game Score]],TournamentData[Max Robot Game Score]))</f>
        <v>1</v>
      </c>
      <c r="J181" s="63">
        <f>IF(TournamentData[[#This Row],[Team Number]]="","",_xlfn.XLOOKUP(TournamentData[[#This Row],[Team Number]],CoreValuesResults[Team Number],CoreValuesResults[Core Values Rank],NumberOfTeams+1,0,))</f>
        <v>1</v>
      </c>
      <c r="K181" s="63">
        <f>IF(TournamentData[[#This Row],[Team Number]]="","",_xlfn.XLOOKUP(TournamentData[[#This Row],[Team Number]],InnovationProjectResults[Team Number],InnovationProjectResults[Innovation Project Rank],NumberOfTeams+1,0,))</f>
        <v>1</v>
      </c>
      <c r="L181" s="63">
        <f>IF(TournamentData[[#This Row],[Team Number]]="","",_xlfn.XLOOKUP(TournamentData[[#This Row],[Team Number]],RobotDesignResults[Team Number],RobotDesignResults[Robot Design Rank],NumberOfTeams+1,0,))</f>
        <v>1</v>
      </c>
      <c r="M181"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81" s="64">
        <f>IF(TournamentData[[#This Row],[Team Number]]="","",IF(M181,RANK(M181,M$3:M$202,1)-COUNTIF(M$3:M$202,0),NumberOfTeams+1))</f>
        <v>1</v>
      </c>
      <c r="O181" s="70">
        <f>_xlfn.XLOOKUP(TournamentData[[#This Row],[Team Number]],CoreValuesResults[Team Number],CoreValuesResults[Breakthrough Selection],0,0,)</f>
        <v>0</v>
      </c>
      <c r="P181" s="70">
        <f>_xlfn.XLOOKUP(TournamentData[[#This Row],[Team Number]],CoreValuesResults[Team Number],CoreValuesResults[Rising All-Star Selection],0,0,)</f>
        <v>0</v>
      </c>
      <c r="Q181" s="70">
        <f>_xlfn.XLOOKUP(TournamentData[[#This Row],[Team Number]],CoreValuesResults[Team Number],CoreValuesResults[Motivate Selection],0,0,)</f>
        <v>0</v>
      </c>
      <c r="R181" s="66"/>
      <c r="S181" s="66"/>
      <c r="T181" s="67"/>
      <c r="U181" s="63">
        <f>_xlfn.XLOOKUP(TournamentData[[#This Row],[Team Number]],CoreValuesResults[Team Number],CoreValuesResults[Core Values Score],0,0,)</f>
        <v>0</v>
      </c>
      <c r="V181" s="63">
        <f>_xlfn.XLOOKUP(TournamentData[[#This Row],[Team Number]],InnovationProjectResults[Team Number],InnovationProjectResults[Innovation Project Score],0,0,)</f>
        <v>0</v>
      </c>
      <c r="W181" s="63">
        <f>_xlfn.XLOOKUP(TournamentData[[#This Row],[Team Number]],RobotDesignResults[Team Number],RobotDesignResults[Robot Design Score],0,0,)</f>
        <v>0</v>
      </c>
      <c r="X181"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81" s="71">
        <f t="shared" si="5"/>
        <v>0</v>
      </c>
      <c r="Z181" s="66"/>
    </row>
    <row r="182" spans="1:26" ht="21" customHeight="1" x14ac:dyDescent="0.45">
      <c r="A182">
        <f>_xlfn.XLOOKUP(180,OfficialTeamList[Row],OfficialTeamList[Team Number],"ERROR",0)</f>
        <v>0</v>
      </c>
      <c r="B182" s="62" t="str">
        <f>_xlfn.XLOOKUP(TournamentData[[#This Row],[Team Number]],OfficialTeamList[Team Number],OfficialTeamList[Team Name],"",0,)</f>
        <v/>
      </c>
      <c r="C182" s="63">
        <f>IF(TournamentData[[#This Row],[Team Number]]="","",_xlfn.XLOOKUP(TournamentData[[#This Row],[Team Number]],RobotGameScores[Team Number],RobotGameScores[Robot Game 1 Score],0,0,))</f>
        <v>0</v>
      </c>
      <c r="D182" s="63">
        <f>IF(TournamentData[[#This Row],[Team Number]]="","",_xlfn.XLOOKUP(TournamentData[[#This Row],[Team Number]],RobotGameScores[Team Number],RobotGameScores[Robot Game 2 Score],0,0,))</f>
        <v>0</v>
      </c>
      <c r="E182" s="63">
        <f>IF(TournamentData[[#This Row],[Team Number]]="","",_xlfn.XLOOKUP(TournamentData[[#This Row],[Team Number]],RobotGameScores[Team Number],RobotGameScores[Robot Game 3 Score],0,0,))</f>
        <v>0</v>
      </c>
      <c r="F182" s="63">
        <f>IF(TournamentData[[#This Row],[Team Number]]="","",_xlfn.XLOOKUP(TournamentData[[#This Row],[Team Number]],RobotGameScores[Team Number],RobotGameScores[Robot Game 4 Score],0,0,))</f>
        <v>0</v>
      </c>
      <c r="G182" s="63">
        <f>IF(TournamentData[[#This Row],[Team Number]]="","",_xlfn.XLOOKUP(TournamentData[[#This Row],[Team Number]],RobotGameScores[Team Number],RobotGameScores[Robot Game 5 Score],0,0,))</f>
        <v>0</v>
      </c>
      <c r="H182"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82" s="63">
        <f>IF(TournamentData[[#This Row],[Team Number]]="","",_xlfn.RANK.EQ(TournamentData[[#This Row],[Max Robot Game Score]],TournamentData[Max Robot Game Score]))</f>
        <v>1</v>
      </c>
      <c r="J182" s="63">
        <f>IF(TournamentData[[#This Row],[Team Number]]="","",_xlfn.XLOOKUP(TournamentData[[#This Row],[Team Number]],CoreValuesResults[Team Number],CoreValuesResults[Core Values Rank],NumberOfTeams+1,0,))</f>
        <v>1</v>
      </c>
      <c r="K182" s="63">
        <f>IF(TournamentData[[#This Row],[Team Number]]="","",_xlfn.XLOOKUP(TournamentData[[#This Row],[Team Number]],InnovationProjectResults[Team Number],InnovationProjectResults[Innovation Project Rank],NumberOfTeams+1,0,))</f>
        <v>1</v>
      </c>
      <c r="L182" s="63">
        <f>IF(TournamentData[[#This Row],[Team Number]]="","",_xlfn.XLOOKUP(TournamentData[[#This Row],[Team Number]],RobotDesignResults[Team Number],RobotDesignResults[Robot Design Rank],NumberOfTeams+1,0,))</f>
        <v>1</v>
      </c>
      <c r="M182"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82" s="64">
        <f>IF(TournamentData[[#This Row],[Team Number]]="","",IF(M182,RANK(M182,M$3:M$202,1)-COUNTIF(M$3:M$202,0),NumberOfTeams+1))</f>
        <v>1</v>
      </c>
      <c r="O182" s="70">
        <f>_xlfn.XLOOKUP(TournamentData[[#This Row],[Team Number]],CoreValuesResults[Team Number],CoreValuesResults[Breakthrough Selection],0,0,)</f>
        <v>0</v>
      </c>
      <c r="P182" s="70">
        <f>_xlfn.XLOOKUP(TournamentData[[#This Row],[Team Number]],CoreValuesResults[Team Number],CoreValuesResults[Rising All-Star Selection],0,0,)</f>
        <v>0</v>
      </c>
      <c r="Q182" s="70">
        <f>_xlfn.XLOOKUP(TournamentData[[#This Row],[Team Number]],CoreValuesResults[Team Number],CoreValuesResults[Motivate Selection],0,0,)</f>
        <v>0</v>
      </c>
      <c r="R182" s="66"/>
      <c r="S182" s="66"/>
      <c r="T182" s="67"/>
      <c r="U182" s="63">
        <f>_xlfn.XLOOKUP(TournamentData[[#This Row],[Team Number]],CoreValuesResults[Team Number],CoreValuesResults[Core Values Score],0,0,)</f>
        <v>0</v>
      </c>
      <c r="V182" s="63">
        <f>_xlfn.XLOOKUP(TournamentData[[#This Row],[Team Number]],InnovationProjectResults[Team Number],InnovationProjectResults[Innovation Project Score],0,0,)</f>
        <v>0</v>
      </c>
      <c r="W182" s="63">
        <f>_xlfn.XLOOKUP(TournamentData[[#This Row],[Team Number]],RobotDesignResults[Team Number],RobotDesignResults[Robot Design Score],0,0,)</f>
        <v>0</v>
      </c>
      <c r="X182"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82" s="71">
        <f t="shared" si="5"/>
        <v>0</v>
      </c>
      <c r="Z182" s="66"/>
    </row>
    <row r="183" spans="1:26" ht="21" customHeight="1" x14ac:dyDescent="0.45">
      <c r="A183">
        <f>_xlfn.XLOOKUP(181,OfficialTeamList[Row],OfficialTeamList[Team Number],"ERROR",0)</f>
        <v>0</v>
      </c>
      <c r="B183" s="62" t="str">
        <f>_xlfn.XLOOKUP(TournamentData[[#This Row],[Team Number]],OfficialTeamList[Team Number],OfficialTeamList[Team Name],"",0,)</f>
        <v/>
      </c>
      <c r="C183" s="63">
        <f>IF(TournamentData[[#This Row],[Team Number]]="","",_xlfn.XLOOKUP(TournamentData[[#This Row],[Team Number]],RobotGameScores[Team Number],RobotGameScores[Robot Game 1 Score],0,0,))</f>
        <v>0</v>
      </c>
      <c r="D183" s="63">
        <f>IF(TournamentData[[#This Row],[Team Number]]="","",_xlfn.XLOOKUP(TournamentData[[#This Row],[Team Number]],RobotGameScores[Team Number],RobotGameScores[Robot Game 2 Score],0,0,))</f>
        <v>0</v>
      </c>
      <c r="E183" s="63">
        <f>IF(TournamentData[[#This Row],[Team Number]]="","",_xlfn.XLOOKUP(TournamentData[[#This Row],[Team Number]],RobotGameScores[Team Number],RobotGameScores[Robot Game 3 Score],0,0,))</f>
        <v>0</v>
      </c>
      <c r="F183" s="63">
        <f>IF(TournamentData[[#This Row],[Team Number]]="","",_xlfn.XLOOKUP(TournamentData[[#This Row],[Team Number]],RobotGameScores[Team Number],RobotGameScores[Robot Game 4 Score],0,0,))</f>
        <v>0</v>
      </c>
      <c r="G183" s="63">
        <f>IF(TournamentData[[#This Row],[Team Number]]="","",_xlfn.XLOOKUP(TournamentData[[#This Row],[Team Number]],RobotGameScores[Team Number],RobotGameScores[Robot Game 5 Score],0,0,))</f>
        <v>0</v>
      </c>
      <c r="H183"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83" s="63">
        <f>IF(TournamentData[[#This Row],[Team Number]]="","",_xlfn.RANK.EQ(TournamentData[[#This Row],[Max Robot Game Score]],TournamentData[Max Robot Game Score]))</f>
        <v>1</v>
      </c>
      <c r="J183" s="63">
        <f>IF(TournamentData[[#This Row],[Team Number]]="","",_xlfn.XLOOKUP(TournamentData[[#This Row],[Team Number]],CoreValuesResults[Team Number],CoreValuesResults[Core Values Rank],NumberOfTeams+1,0,))</f>
        <v>1</v>
      </c>
      <c r="K183" s="63">
        <f>IF(TournamentData[[#This Row],[Team Number]]="","",_xlfn.XLOOKUP(TournamentData[[#This Row],[Team Number]],InnovationProjectResults[Team Number],InnovationProjectResults[Innovation Project Rank],NumberOfTeams+1,0,))</f>
        <v>1</v>
      </c>
      <c r="L183" s="63">
        <f>IF(TournamentData[[#This Row],[Team Number]]="","",_xlfn.XLOOKUP(TournamentData[[#This Row],[Team Number]],RobotDesignResults[Team Number],RobotDesignResults[Robot Design Rank],NumberOfTeams+1,0,))</f>
        <v>1</v>
      </c>
      <c r="M183"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83" s="64">
        <f>IF(TournamentData[[#This Row],[Team Number]]="","",IF(M183,RANK(M183,M$3:M$202,1)-COUNTIF(M$3:M$202,0),NumberOfTeams+1))</f>
        <v>1</v>
      </c>
      <c r="O183" s="70">
        <f>_xlfn.XLOOKUP(TournamentData[[#This Row],[Team Number]],CoreValuesResults[Team Number],CoreValuesResults[Breakthrough Selection],0,0,)</f>
        <v>0</v>
      </c>
      <c r="P183" s="70">
        <f>_xlfn.XLOOKUP(TournamentData[[#This Row],[Team Number]],CoreValuesResults[Team Number],CoreValuesResults[Rising All-Star Selection],0,0,)</f>
        <v>0</v>
      </c>
      <c r="Q183" s="70">
        <f>_xlfn.XLOOKUP(TournamentData[[#This Row],[Team Number]],CoreValuesResults[Team Number],CoreValuesResults[Motivate Selection],0,0,)</f>
        <v>0</v>
      </c>
      <c r="R183" s="66"/>
      <c r="S183" s="66"/>
      <c r="T183" s="67"/>
      <c r="U183" s="63">
        <f>_xlfn.XLOOKUP(TournamentData[[#This Row],[Team Number]],CoreValuesResults[Team Number],CoreValuesResults[Core Values Score],0,0,)</f>
        <v>0</v>
      </c>
      <c r="V183" s="63">
        <f>_xlfn.XLOOKUP(TournamentData[[#This Row],[Team Number]],InnovationProjectResults[Team Number],InnovationProjectResults[Innovation Project Score],0,0,)</f>
        <v>0</v>
      </c>
      <c r="W183" s="63">
        <f>_xlfn.XLOOKUP(TournamentData[[#This Row],[Team Number]],RobotDesignResults[Team Number],RobotDesignResults[Robot Design Score],0,0,)</f>
        <v>0</v>
      </c>
      <c r="X183"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83" s="71">
        <f t="shared" si="5"/>
        <v>0</v>
      </c>
      <c r="Z183" s="66"/>
    </row>
    <row r="184" spans="1:26" ht="21" customHeight="1" x14ac:dyDescent="0.45">
      <c r="A184">
        <f>_xlfn.XLOOKUP(182,OfficialTeamList[Row],OfficialTeamList[Team Number],"ERROR",0)</f>
        <v>0</v>
      </c>
      <c r="B184" s="62" t="str">
        <f>_xlfn.XLOOKUP(TournamentData[[#This Row],[Team Number]],OfficialTeamList[Team Number],OfficialTeamList[Team Name],"",0,)</f>
        <v/>
      </c>
      <c r="C184" s="63">
        <f>IF(TournamentData[[#This Row],[Team Number]]="","",_xlfn.XLOOKUP(TournamentData[[#This Row],[Team Number]],RobotGameScores[Team Number],RobotGameScores[Robot Game 1 Score],0,0,))</f>
        <v>0</v>
      </c>
      <c r="D184" s="63">
        <f>IF(TournamentData[[#This Row],[Team Number]]="","",_xlfn.XLOOKUP(TournamentData[[#This Row],[Team Number]],RobotGameScores[Team Number],RobotGameScores[Robot Game 2 Score],0,0,))</f>
        <v>0</v>
      </c>
      <c r="E184" s="63">
        <f>IF(TournamentData[[#This Row],[Team Number]]="","",_xlfn.XLOOKUP(TournamentData[[#This Row],[Team Number]],RobotGameScores[Team Number],RobotGameScores[Robot Game 3 Score],0,0,))</f>
        <v>0</v>
      </c>
      <c r="F184" s="63">
        <f>IF(TournamentData[[#This Row],[Team Number]]="","",_xlfn.XLOOKUP(TournamentData[[#This Row],[Team Number]],RobotGameScores[Team Number],RobotGameScores[Robot Game 4 Score],0,0,))</f>
        <v>0</v>
      </c>
      <c r="G184" s="63">
        <f>IF(TournamentData[[#This Row],[Team Number]]="","",_xlfn.XLOOKUP(TournamentData[[#This Row],[Team Number]],RobotGameScores[Team Number],RobotGameScores[Robot Game 5 Score],0,0,))</f>
        <v>0</v>
      </c>
      <c r="H184"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84" s="63">
        <f>IF(TournamentData[[#This Row],[Team Number]]="","",_xlfn.RANK.EQ(TournamentData[[#This Row],[Max Robot Game Score]],TournamentData[Max Robot Game Score]))</f>
        <v>1</v>
      </c>
      <c r="J184" s="63">
        <f>IF(TournamentData[[#This Row],[Team Number]]="","",_xlfn.XLOOKUP(TournamentData[[#This Row],[Team Number]],CoreValuesResults[Team Number],CoreValuesResults[Core Values Rank],NumberOfTeams+1,0,))</f>
        <v>1</v>
      </c>
      <c r="K184" s="63">
        <f>IF(TournamentData[[#This Row],[Team Number]]="","",_xlfn.XLOOKUP(TournamentData[[#This Row],[Team Number]],InnovationProjectResults[Team Number],InnovationProjectResults[Innovation Project Rank],NumberOfTeams+1,0,))</f>
        <v>1</v>
      </c>
      <c r="L184" s="63">
        <f>IF(TournamentData[[#This Row],[Team Number]]="","",_xlfn.XLOOKUP(TournamentData[[#This Row],[Team Number]],RobotDesignResults[Team Number],RobotDesignResults[Robot Design Rank],NumberOfTeams+1,0,))</f>
        <v>1</v>
      </c>
      <c r="M184"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84" s="64">
        <f>IF(TournamentData[[#This Row],[Team Number]]="","",IF(M184,RANK(M184,M$3:M$202,1)-COUNTIF(M$3:M$202,0),NumberOfTeams+1))</f>
        <v>1</v>
      </c>
      <c r="O184" s="70">
        <f>_xlfn.XLOOKUP(TournamentData[[#This Row],[Team Number]],CoreValuesResults[Team Number],CoreValuesResults[Breakthrough Selection],0,0,)</f>
        <v>0</v>
      </c>
      <c r="P184" s="70">
        <f>_xlfn.XLOOKUP(TournamentData[[#This Row],[Team Number]],CoreValuesResults[Team Number],CoreValuesResults[Rising All-Star Selection],0,0,)</f>
        <v>0</v>
      </c>
      <c r="Q184" s="70">
        <f>_xlfn.XLOOKUP(TournamentData[[#This Row],[Team Number]],CoreValuesResults[Team Number],CoreValuesResults[Motivate Selection],0,0,)</f>
        <v>0</v>
      </c>
      <c r="R184" s="66"/>
      <c r="S184" s="66"/>
      <c r="T184" s="67"/>
      <c r="U184" s="63">
        <f>_xlfn.XLOOKUP(TournamentData[[#This Row],[Team Number]],CoreValuesResults[Team Number],CoreValuesResults[Core Values Score],0,0,)</f>
        <v>0</v>
      </c>
      <c r="V184" s="63">
        <f>_xlfn.XLOOKUP(TournamentData[[#This Row],[Team Number]],InnovationProjectResults[Team Number],InnovationProjectResults[Innovation Project Score],0,0,)</f>
        <v>0</v>
      </c>
      <c r="W184" s="63">
        <f>_xlfn.XLOOKUP(TournamentData[[#This Row],[Team Number]],RobotDesignResults[Team Number],RobotDesignResults[Robot Design Score],0,0,)</f>
        <v>0</v>
      </c>
      <c r="X184"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84" s="71">
        <f t="shared" si="5"/>
        <v>0</v>
      </c>
      <c r="Z184" s="66"/>
    </row>
    <row r="185" spans="1:26" ht="21" customHeight="1" x14ac:dyDescent="0.45">
      <c r="A185">
        <f>_xlfn.XLOOKUP(183,OfficialTeamList[Row],OfficialTeamList[Team Number],"ERROR",0)</f>
        <v>0</v>
      </c>
      <c r="B185" s="62" t="str">
        <f>_xlfn.XLOOKUP(TournamentData[[#This Row],[Team Number]],OfficialTeamList[Team Number],OfficialTeamList[Team Name],"",0,)</f>
        <v/>
      </c>
      <c r="C185" s="63">
        <f>IF(TournamentData[[#This Row],[Team Number]]="","",_xlfn.XLOOKUP(TournamentData[[#This Row],[Team Number]],RobotGameScores[Team Number],RobotGameScores[Robot Game 1 Score],0,0,))</f>
        <v>0</v>
      </c>
      <c r="D185" s="63">
        <f>IF(TournamentData[[#This Row],[Team Number]]="","",_xlfn.XLOOKUP(TournamentData[[#This Row],[Team Number]],RobotGameScores[Team Number],RobotGameScores[Robot Game 2 Score],0,0,))</f>
        <v>0</v>
      </c>
      <c r="E185" s="63">
        <f>IF(TournamentData[[#This Row],[Team Number]]="","",_xlfn.XLOOKUP(TournamentData[[#This Row],[Team Number]],RobotGameScores[Team Number],RobotGameScores[Robot Game 3 Score],0,0,))</f>
        <v>0</v>
      </c>
      <c r="F185" s="63">
        <f>IF(TournamentData[[#This Row],[Team Number]]="","",_xlfn.XLOOKUP(TournamentData[[#This Row],[Team Number]],RobotGameScores[Team Number],RobotGameScores[Robot Game 4 Score],0,0,))</f>
        <v>0</v>
      </c>
      <c r="G185" s="63">
        <f>IF(TournamentData[[#This Row],[Team Number]]="","",_xlfn.XLOOKUP(TournamentData[[#This Row],[Team Number]],RobotGameScores[Team Number],RobotGameScores[Robot Game 5 Score],0,0,))</f>
        <v>0</v>
      </c>
      <c r="H185"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85" s="63">
        <f>IF(TournamentData[[#This Row],[Team Number]]="","",_xlfn.RANK.EQ(TournamentData[[#This Row],[Max Robot Game Score]],TournamentData[Max Robot Game Score]))</f>
        <v>1</v>
      </c>
      <c r="J185" s="63">
        <f>IF(TournamentData[[#This Row],[Team Number]]="","",_xlfn.XLOOKUP(TournamentData[[#This Row],[Team Number]],CoreValuesResults[Team Number],CoreValuesResults[Core Values Rank],NumberOfTeams+1,0,))</f>
        <v>1</v>
      </c>
      <c r="K185" s="63">
        <f>IF(TournamentData[[#This Row],[Team Number]]="","",_xlfn.XLOOKUP(TournamentData[[#This Row],[Team Number]],InnovationProjectResults[Team Number],InnovationProjectResults[Innovation Project Rank],NumberOfTeams+1,0,))</f>
        <v>1</v>
      </c>
      <c r="L185" s="63">
        <f>IF(TournamentData[[#This Row],[Team Number]]="","",_xlfn.XLOOKUP(TournamentData[[#This Row],[Team Number]],RobotDesignResults[Team Number],RobotDesignResults[Robot Design Rank],NumberOfTeams+1,0,))</f>
        <v>1</v>
      </c>
      <c r="M185"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85" s="64">
        <f>IF(TournamentData[[#This Row],[Team Number]]="","",IF(M185,RANK(M185,M$3:M$202,1)-COUNTIF(M$3:M$202,0),NumberOfTeams+1))</f>
        <v>1</v>
      </c>
      <c r="O185" s="70">
        <f>_xlfn.XLOOKUP(TournamentData[[#This Row],[Team Number]],CoreValuesResults[Team Number],CoreValuesResults[Breakthrough Selection],0,0,)</f>
        <v>0</v>
      </c>
      <c r="P185" s="70">
        <f>_xlfn.XLOOKUP(TournamentData[[#This Row],[Team Number]],CoreValuesResults[Team Number],CoreValuesResults[Rising All-Star Selection],0,0,)</f>
        <v>0</v>
      </c>
      <c r="Q185" s="70">
        <f>_xlfn.XLOOKUP(TournamentData[[#This Row],[Team Number]],CoreValuesResults[Team Number],CoreValuesResults[Motivate Selection],0,0,)</f>
        <v>0</v>
      </c>
      <c r="R185" s="66"/>
      <c r="S185" s="66"/>
      <c r="T185" s="67"/>
      <c r="U185" s="63">
        <f>_xlfn.XLOOKUP(TournamentData[[#This Row],[Team Number]],CoreValuesResults[Team Number],CoreValuesResults[Core Values Score],0,0,)</f>
        <v>0</v>
      </c>
      <c r="V185" s="63">
        <f>_xlfn.XLOOKUP(TournamentData[[#This Row],[Team Number]],InnovationProjectResults[Team Number],InnovationProjectResults[Innovation Project Score],0,0,)</f>
        <v>0</v>
      </c>
      <c r="W185" s="63">
        <f>_xlfn.XLOOKUP(TournamentData[[#This Row],[Team Number]],RobotDesignResults[Team Number],RobotDesignResults[Robot Design Score],0,0,)</f>
        <v>0</v>
      </c>
      <c r="X185"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85" s="71">
        <f t="shared" si="5"/>
        <v>0</v>
      </c>
      <c r="Z185" s="66"/>
    </row>
    <row r="186" spans="1:26" ht="21" customHeight="1" x14ac:dyDescent="0.45">
      <c r="A186">
        <f>_xlfn.XLOOKUP(184,OfficialTeamList[Row],OfficialTeamList[Team Number],"ERROR",0)</f>
        <v>0</v>
      </c>
      <c r="B186" s="62" t="str">
        <f>_xlfn.XLOOKUP(TournamentData[[#This Row],[Team Number]],OfficialTeamList[Team Number],OfficialTeamList[Team Name],"",0,)</f>
        <v/>
      </c>
      <c r="C186" s="63">
        <f>IF(TournamentData[[#This Row],[Team Number]]="","",_xlfn.XLOOKUP(TournamentData[[#This Row],[Team Number]],RobotGameScores[Team Number],RobotGameScores[Robot Game 1 Score],0,0,))</f>
        <v>0</v>
      </c>
      <c r="D186" s="63">
        <f>IF(TournamentData[[#This Row],[Team Number]]="","",_xlfn.XLOOKUP(TournamentData[[#This Row],[Team Number]],RobotGameScores[Team Number],RobotGameScores[Robot Game 2 Score],0,0,))</f>
        <v>0</v>
      </c>
      <c r="E186" s="63">
        <f>IF(TournamentData[[#This Row],[Team Number]]="","",_xlfn.XLOOKUP(TournamentData[[#This Row],[Team Number]],RobotGameScores[Team Number],RobotGameScores[Robot Game 3 Score],0,0,))</f>
        <v>0</v>
      </c>
      <c r="F186" s="63">
        <f>IF(TournamentData[[#This Row],[Team Number]]="","",_xlfn.XLOOKUP(TournamentData[[#This Row],[Team Number]],RobotGameScores[Team Number],RobotGameScores[Robot Game 4 Score],0,0,))</f>
        <v>0</v>
      </c>
      <c r="G186" s="63">
        <f>IF(TournamentData[[#This Row],[Team Number]]="","",_xlfn.XLOOKUP(TournamentData[[#This Row],[Team Number]],RobotGameScores[Team Number],RobotGameScores[Robot Game 5 Score],0,0,))</f>
        <v>0</v>
      </c>
      <c r="H186"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86" s="63">
        <f>IF(TournamentData[[#This Row],[Team Number]]="","",_xlfn.RANK.EQ(TournamentData[[#This Row],[Max Robot Game Score]],TournamentData[Max Robot Game Score]))</f>
        <v>1</v>
      </c>
      <c r="J186" s="63">
        <f>IF(TournamentData[[#This Row],[Team Number]]="","",_xlfn.XLOOKUP(TournamentData[[#This Row],[Team Number]],CoreValuesResults[Team Number],CoreValuesResults[Core Values Rank],NumberOfTeams+1,0,))</f>
        <v>1</v>
      </c>
      <c r="K186" s="63">
        <f>IF(TournamentData[[#This Row],[Team Number]]="","",_xlfn.XLOOKUP(TournamentData[[#This Row],[Team Number]],InnovationProjectResults[Team Number],InnovationProjectResults[Innovation Project Rank],NumberOfTeams+1,0,))</f>
        <v>1</v>
      </c>
      <c r="L186" s="63">
        <f>IF(TournamentData[[#This Row],[Team Number]]="","",_xlfn.XLOOKUP(TournamentData[[#This Row],[Team Number]],RobotDesignResults[Team Number],RobotDesignResults[Robot Design Rank],NumberOfTeams+1,0,))</f>
        <v>1</v>
      </c>
      <c r="M186"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86" s="64">
        <f>IF(TournamentData[[#This Row],[Team Number]]="","",IF(M186,RANK(M186,M$3:M$202,1)-COUNTIF(M$3:M$202,0),NumberOfTeams+1))</f>
        <v>1</v>
      </c>
      <c r="O186" s="70">
        <f>_xlfn.XLOOKUP(TournamentData[[#This Row],[Team Number]],CoreValuesResults[Team Number],CoreValuesResults[Breakthrough Selection],0,0,)</f>
        <v>0</v>
      </c>
      <c r="P186" s="70">
        <f>_xlfn.XLOOKUP(TournamentData[[#This Row],[Team Number]],CoreValuesResults[Team Number],CoreValuesResults[Rising All-Star Selection],0,0,)</f>
        <v>0</v>
      </c>
      <c r="Q186" s="70">
        <f>_xlfn.XLOOKUP(TournamentData[[#This Row],[Team Number]],CoreValuesResults[Team Number],CoreValuesResults[Motivate Selection],0,0,)</f>
        <v>0</v>
      </c>
      <c r="R186" s="66"/>
      <c r="S186" s="66"/>
      <c r="T186" s="67"/>
      <c r="U186" s="63">
        <f>_xlfn.XLOOKUP(TournamentData[[#This Row],[Team Number]],CoreValuesResults[Team Number],CoreValuesResults[Core Values Score],0,0,)</f>
        <v>0</v>
      </c>
      <c r="V186" s="63">
        <f>_xlfn.XLOOKUP(TournamentData[[#This Row],[Team Number]],InnovationProjectResults[Team Number],InnovationProjectResults[Innovation Project Score],0,0,)</f>
        <v>0</v>
      </c>
      <c r="W186" s="63">
        <f>_xlfn.XLOOKUP(TournamentData[[#This Row],[Team Number]],RobotDesignResults[Team Number],RobotDesignResults[Robot Design Score],0,0,)</f>
        <v>0</v>
      </c>
      <c r="X186"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86" s="71">
        <f t="shared" si="5"/>
        <v>0</v>
      </c>
      <c r="Z186" s="66"/>
    </row>
    <row r="187" spans="1:26" ht="21" customHeight="1" x14ac:dyDescent="0.45">
      <c r="A187">
        <f>_xlfn.XLOOKUP(185,OfficialTeamList[Row],OfficialTeamList[Team Number],"ERROR",0)</f>
        <v>0</v>
      </c>
      <c r="B187" s="62" t="str">
        <f>_xlfn.XLOOKUP(TournamentData[[#This Row],[Team Number]],OfficialTeamList[Team Number],OfficialTeamList[Team Name],"",0,)</f>
        <v/>
      </c>
      <c r="C187" s="63">
        <f>IF(TournamentData[[#This Row],[Team Number]]="","",_xlfn.XLOOKUP(TournamentData[[#This Row],[Team Number]],RobotGameScores[Team Number],RobotGameScores[Robot Game 1 Score],0,0,))</f>
        <v>0</v>
      </c>
      <c r="D187" s="63">
        <f>IF(TournamentData[[#This Row],[Team Number]]="","",_xlfn.XLOOKUP(TournamentData[[#This Row],[Team Number]],RobotGameScores[Team Number],RobotGameScores[Robot Game 2 Score],0,0,))</f>
        <v>0</v>
      </c>
      <c r="E187" s="63">
        <f>IF(TournamentData[[#This Row],[Team Number]]="","",_xlfn.XLOOKUP(TournamentData[[#This Row],[Team Number]],RobotGameScores[Team Number],RobotGameScores[Robot Game 3 Score],0,0,))</f>
        <v>0</v>
      </c>
      <c r="F187" s="63">
        <f>IF(TournamentData[[#This Row],[Team Number]]="","",_xlfn.XLOOKUP(TournamentData[[#This Row],[Team Number]],RobotGameScores[Team Number],RobotGameScores[Robot Game 4 Score],0,0,))</f>
        <v>0</v>
      </c>
      <c r="G187" s="63">
        <f>IF(TournamentData[[#This Row],[Team Number]]="","",_xlfn.XLOOKUP(TournamentData[[#This Row],[Team Number]],RobotGameScores[Team Number],RobotGameScores[Robot Game 5 Score],0,0,))</f>
        <v>0</v>
      </c>
      <c r="H187"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87" s="63">
        <f>IF(TournamentData[[#This Row],[Team Number]]="","",_xlfn.RANK.EQ(TournamentData[[#This Row],[Max Robot Game Score]],TournamentData[Max Robot Game Score]))</f>
        <v>1</v>
      </c>
      <c r="J187" s="63">
        <f>IF(TournamentData[[#This Row],[Team Number]]="","",_xlfn.XLOOKUP(TournamentData[[#This Row],[Team Number]],CoreValuesResults[Team Number],CoreValuesResults[Core Values Rank],NumberOfTeams+1,0,))</f>
        <v>1</v>
      </c>
      <c r="K187" s="63">
        <f>IF(TournamentData[[#This Row],[Team Number]]="","",_xlfn.XLOOKUP(TournamentData[[#This Row],[Team Number]],InnovationProjectResults[Team Number],InnovationProjectResults[Innovation Project Rank],NumberOfTeams+1,0,))</f>
        <v>1</v>
      </c>
      <c r="L187" s="63">
        <f>IF(TournamentData[[#This Row],[Team Number]]="","",_xlfn.XLOOKUP(TournamentData[[#This Row],[Team Number]],RobotDesignResults[Team Number],RobotDesignResults[Robot Design Rank],NumberOfTeams+1,0,))</f>
        <v>1</v>
      </c>
      <c r="M187"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87" s="64">
        <f>IF(TournamentData[[#This Row],[Team Number]]="","",IF(M187,RANK(M187,M$3:M$202,1)-COUNTIF(M$3:M$202,0),NumberOfTeams+1))</f>
        <v>1</v>
      </c>
      <c r="O187" s="70">
        <f>_xlfn.XLOOKUP(TournamentData[[#This Row],[Team Number]],CoreValuesResults[Team Number],CoreValuesResults[Breakthrough Selection],0,0,)</f>
        <v>0</v>
      </c>
      <c r="P187" s="70">
        <f>_xlfn.XLOOKUP(TournamentData[[#This Row],[Team Number]],CoreValuesResults[Team Number],CoreValuesResults[Rising All-Star Selection],0,0,)</f>
        <v>0</v>
      </c>
      <c r="Q187" s="70">
        <f>_xlfn.XLOOKUP(TournamentData[[#This Row],[Team Number]],CoreValuesResults[Team Number],CoreValuesResults[Motivate Selection],0,0,)</f>
        <v>0</v>
      </c>
      <c r="R187" s="66"/>
      <c r="S187" s="66"/>
      <c r="T187" s="67"/>
      <c r="U187" s="63">
        <f>_xlfn.XLOOKUP(TournamentData[[#This Row],[Team Number]],CoreValuesResults[Team Number],CoreValuesResults[Core Values Score],0,0,)</f>
        <v>0</v>
      </c>
      <c r="V187" s="63">
        <f>_xlfn.XLOOKUP(TournamentData[[#This Row],[Team Number]],InnovationProjectResults[Team Number],InnovationProjectResults[Innovation Project Score],0,0,)</f>
        <v>0</v>
      </c>
      <c r="W187" s="63">
        <f>_xlfn.XLOOKUP(TournamentData[[#This Row],[Team Number]],RobotDesignResults[Team Number],RobotDesignResults[Robot Design Score],0,0,)</f>
        <v>0</v>
      </c>
      <c r="X187"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87" s="71">
        <f t="shared" si="5"/>
        <v>0</v>
      </c>
      <c r="Z187" s="66"/>
    </row>
    <row r="188" spans="1:26" ht="21" customHeight="1" x14ac:dyDescent="0.45">
      <c r="A188">
        <f>_xlfn.XLOOKUP(186,OfficialTeamList[Row],OfficialTeamList[Team Number],"ERROR",0)</f>
        <v>0</v>
      </c>
      <c r="B188" s="62" t="str">
        <f>_xlfn.XLOOKUP(TournamentData[[#This Row],[Team Number]],OfficialTeamList[Team Number],OfficialTeamList[Team Name],"",0,)</f>
        <v/>
      </c>
      <c r="C188" s="63">
        <f>IF(TournamentData[[#This Row],[Team Number]]="","",_xlfn.XLOOKUP(TournamentData[[#This Row],[Team Number]],RobotGameScores[Team Number],RobotGameScores[Robot Game 1 Score],0,0,))</f>
        <v>0</v>
      </c>
      <c r="D188" s="63">
        <f>IF(TournamentData[[#This Row],[Team Number]]="","",_xlfn.XLOOKUP(TournamentData[[#This Row],[Team Number]],RobotGameScores[Team Number],RobotGameScores[Robot Game 2 Score],0,0,))</f>
        <v>0</v>
      </c>
      <c r="E188" s="63">
        <f>IF(TournamentData[[#This Row],[Team Number]]="","",_xlfn.XLOOKUP(TournamentData[[#This Row],[Team Number]],RobotGameScores[Team Number],RobotGameScores[Robot Game 3 Score],0,0,))</f>
        <v>0</v>
      </c>
      <c r="F188" s="63">
        <f>IF(TournamentData[[#This Row],[Team Number]]="","",_xlfn.XLOOKUP(TournamentData[[#This Row],[Team Number]],RobotGameScores[Team Number],RobotGameScores[Robot Game 4 Score],0,0,))</f>
        <v>0</v>
      </c>
      <c r="G188" s="63">
        <f>IF(TournamentData[[#This Row],[Team Number]]="","",_xlfn.XLOOKUP(TournamentData[[#This Row],[Team Number]],RobotGameScores[Team Number],RobotGameScores[Robot Game 5 Score],0,0,))</f>
        <v>0</v>
      </c>
      <c r="H188"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88" s="63">
        <f>IF(TournamentData[[#This Row],[Team Number]]="","",_xlfn.RANK.EQ(TournamentData[[#This Row],[Max Robot Game Score]],TournamentData[Max Robot Game Score]))</f>
        <v>1</v>
      </c>
      <c r="J188" s="63">
        <f>IF(TournamentData[[#This Row],[Team Number]]="","",_xlfn.XLOOKUP(TournamentData[[#This Row],[Team Number]],CoreValuesResults[Team Number],CoreValuesResults[Core Values Rank],NumberOfTeams+1,0,))</f>
        <v>1</v>
      </c>
      <c r="K188" s="63">
        <f>IF(TournamentData[[#This Row],[Team Number]]="","",_xlfn.XLOOKUP(TournamentData[[#This Row],[Team Number]],InnovationProjectResults[Team Number],InnovationProjectResults[Innovation Project Rank],NumberOfTeams+1,0,))</f>
        <v>1</v>
      </c>
      <c r="L188" s="63">
        <f>IF(TournamentData[[#This Row],[Team Number]]="","",_xlfn.XLOOKUP(TournamentData[[#This Row],[Team Number]],RobotDesignResults[Team Number],RobotDesignResults[Robot Design Rank],NumberOfTeams+1,0,))</f>
        <v>1</v>
      </c>
      <c r="M188"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88" s="64">
        <f>IF(TournamentData[[#This Row],[Team Number]]="","",IF(M188,RANK(M188,M$3:M$202,1)-COUNTIF(M$3:M$202,0),NumberOfTeams+1))</f>
        <v>1</v>
      </c>
      <c r="O188" s="70">
        <f>_xlfn.XLOOKUP(TournamentData[[#This Row],[Team Number]],CoreValuesResults[Team Number],CoreValuesResults[Breakthrough Selection],0,0,)</f>
        <v>0</v>
      </c>
      <c r="P188" s="70">
        <f>_xlfn.XLOOKUP(TournamentData[[#This Row],[Team Number]],CoreValuesResults[Team Number],CoreValuesResults[Rising All-Star Selection],0,0,)</f>
        <v>0</v>
      </c>
      <c r="Q188" s="70">
        <f>_xlfn.XLOOKUP(TournamentData[[#This Row],[Team Number]],CoreValuesResults[Team Number],CoreValuesResults[Motivate Selection],0,0,)</f>
        <v>0</v>
      </c>
      <c r="R188" s="66"/>
      <c r="S188" s="66"/>
      <c r="T188" s="67"/>
      <c r="U188" s="63">
        <f>_xlfn.XLOOKUP(TournamentData[[#This Row],[Team Number]],CoreValuesResults[Team Number],CoreValuesResults[Core Values Score],0,0,)</f>
        <v>0</v>
      </c>
      <c r="V188" s="63">
        <f>_xlfn.XLOOKUP(TournamentData[[#This Row],[Team Number]],InnovationProjectResults[Team Number],InnovationProjectResults[Innovation Project Score],0,0,)</f>
        <v>0</v>
      </c>
      <c r="W188" s="63">
        <f>_xlfn.XLOOKUP(TournamentData[[#This Row],[Team Number]],RobotDesignResults[Team Number],RobotDesignResults[Robot Design Score],0,0,)</f>
        <v>0</v>
      </c>
      <c r="X188"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88" s="71">
        <f t="shared" si="5"/>
        <v>0</v>
      </c>
      <c r="Z188" s="66"/>
    </row>
    <row r="189" spans="1:26" ht="21" customHeight="1" x14ac:dyDescent="0.45">
      <c r="A189">
        <f>_xlfn.XLOOKUP(187,OfficialTeamList[Row],OfficialTeamList[Team Number],"ERROR",0)</f>
        <v>0</v>
      </c>
      <c r="B189" s="62" t="str">
        <f>_xlfn.XLOOKUP(TournamentData[[#This Row],[Team Number]],OfficialTeamList[Team Number],OfficialTeamList[Team Name],"",0,)</f>
        <v/>
      </c>
      <c r="C189" s="63">
        <f>IF(TournamentData[[#This Row],[Team Number]]="","",_xlfn.XLOOKUP(TournamentData[[#This Row],[Team Number]],RobotGameScores[Team Number],RobotGameScores[Robot Game 1 Score],0,0,))</f>
        <v>0</v>
      </c>
      <c r="D189" s="63">
        <f>IF(TournamentData[[#This Row],[Team Number]]="","",_xlfn.XLOOKUP(TournamentData[[#This Row],[Team Number]],RobotGameScores[Team Number],RobotGameScores[Robot Game 2 Score],0,0,))</f>
        <v>0</v>
      </c>
      <c r="E189" s="63">
        <f>IF(TournamentData[[#This Row],[Team Number]]="","",_xlfn.XLOOKUP(TournamentData[[#This Row],[Team Number]],RobotGameScores[Team Number],RobotGameScores[Robot Game 3 Score],0,0,))</f>
        <v>0</v>
      </c>
      <c r="F189" s="63">
        <f>IF(TournamentData[[#This Row],[Team Number]]="","",_xlfn.XLOOKUP(TournamentData[[#This Row],[Team Number]],RobotGameScores[Team Number],RobotGameScores[Robot Game 4 Score],0,0,))</f>
        <v>0</v>
      </c>
      <c r="G189" s="63">
        <f>IF(TournamentData[[#This Row],[Team Number]]="","",_xlfn.XLOOKUP(TournamentData[[#This Row],[Team Number]],RobotGameScores[Team Number],RobotGameScores[Robot Game 5 Score],0,0,))</f>
        <v>0</v>
      </c>
      <c r="H189"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89" s="63">
        <f>IF(TournamentData[[#This Row],[Team Number]]="","",_xlfn.RANK.EQ(TournamentData[[#This Row],[Max Robot Game Score]],TournamentData[Max Robot Game Score]))</f>
        <v>1</v>
      </c>
      <c r="J189" s="63">
        <f>IF(TournamentData[[#This Row],[Team Number]]="","",_xlfn.XLOOKUP(TournamentData[[#This Row],[Team Number]],CoreValuesResults[Team Number],CoreValuesResults[Core Values Rank],NumberOfTeams+1,0,))</f>
        <v>1</v>
      </c>
      <c r="K189" s="63">
        <f>IF(TournamentData[[#This Row],[Team Number]]="","",_xlfn.XLOOKUP(TournamentData[[#This Row],[Team Number]],InnovationProjectResults[Team Number],InnovationProjectResults[Innovation Project Rank],NumberOfTeams+1,0,))</f>
        <v>1</v>
      </c>
      <c r="L189" s="63">
        <f>IF(TournamentData[[#This Row],[Team Number]]="","",_xlfn.XLOOKUP(TournamentData[[#This Row],[Team Number]],RobotDesignResults[Team Number],RobotDesignResults[Robot Design Rank],NumberOfTeams+1,0,))</f>
        <v>1</v>
      </c>
      <c r="M189"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89" s="64">
        <f>IF(TournamentData[[#This Row],[Team Number]]="","",IF(M189,RANK(M189,M$3:M$202,1)-COUNTIF(M$3:M$202,0),NumberOfTeams+1))</f>
        <v>1</v>
      </c>
      <c r="O189" s="70">
        <f>_xlfn.XLOOKUP(TournamentData[[#This Row],[Team Number]],CoreValuesResults[Team Number],CoreValuesResults[Breakthrough Selection],0,0,)</f>
        <v>0</v>
      </c>
      <c r="P189" s="70">
        <f>_xlfn.XLOOKUP(TournamentData[[#This Row],[Team Number]],CoreValuesResults[Team Number],CoreValuesResults[Rising All-Star Selection],0,0,)</f>
        <v>0</v>
      </c>
      <c r="Q189" s="70">
        <f>_xlfn.XLOOKUP(TournamentData[[#This Row],[Team Number]],CoreValuesResults[Team Number],CoreValuesResults[Motivate Selection],0,0,)</f>
        <v>0</v>
      </c>
      <c r="R189" s="66"/>
      <c r="S189" s="66"/>
      <c r="T189" s="67"/>
      <c r="U189" s="63">
        <f>_xlfn.XLOOKUP(TournamentData[[#This Row],[Team Number]],CoreValuesResults[Team Number],CoreValuesResults[Core Values Score],0,0,)</f>
        <v>0</v>
      </c>
      <c r="V189" s="63">
        <f>_xlfn.XLOOKUP(TournamentData[[#This Row],[Team Number]],InnovationProjectResults[Team Number],InnovationProjectResults[Innovation Project Score],0,0,)</f>
        <v>0</v>
      </c>
      <c r="W189" s="63">
        <f>_xlfn.XLOOKUP(TournamentData[[#This Row],[Team Number]],RobotDesignResults[Team Number],RobotDesignResults[Robot Design Score],0,0,)</f>
        <v>0</v>
      </c>
      <c r="X189"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89" s="71">
        <f t="shared" si="5"/>
        <v>0</v>
      </c>
      <c r="Z189" s="66"/>
    </row>
    <row r="190" spans="1:26" ht="21" customHeight="1" x14ac:dyDescent="0.45">
      <c r="A190">
        <f>_xlfn.XLOOKUP(188,OfficialTeamList[Row],OfficialTeamList[Team Number],"ERROR",0)</f>
        <v>0</v>
      </c>
      <c r="B190" s="62" t="str">
        <f>_xlfn.XLOOKUP(TournamentData[[#This Row],[Team Number]],OfficialTeamList[Team Number],OfficialTeamList[Team Name],"",0,)</f>
        <v/>
      </c>
      <c r="C190" s="63">
        <f>IF(TournamentData[[#This Row],[Team Number]]="","",_xlfn.XLOOKUP(TournamentData[[#This Row],[Team Number]],RobotGameScores[Team Number],RobotGameScores[Robot Game 1 Score],0,0,))</f>
        <v>0</v>
      </c>
      <c r="D190" s="63">
        <f>IF(TournamentData[[#This Row],[Team Number]]="","",_xlfn.XLOOKUP(TournamentData[[#This Row],[Team Number]],RobotGameScores[Team Number],RobotGameScores[Robot Game 2 Score],0,0,))</f>
        <v>0</v>
      </c>
      <c r="E190" s="63">
        <f>IF(TournamentData[[#This Row],[Team Number]]="","",_xlfn.XLOOKUP(TournamentData[[#This Row],[Team Number]],RobotGameScores[Team Number],RobotGameScores[Robot Game 3 Score],0,0,))</f>
        <v>0</v>
      </c>
      <c r="F190" s="63">
        <f>IF(TournamentData[[#This Row],[Team Number]]="","",_xlfn.XLOOKUP(TournamentData[[#This Row],[Team Number]],RobotGameScores[Team Number],RobotGameScores[Robot Game 4 Score],0,0,))</f>
        <v>0</v>
      </c>
      <c r="G190" s="63">
        <f>IF(TournamentData[[#This Row],[Team Number]]="","",_xlfn.XLOOKUP(TournamentData[[#This Row],[Team Number]],RobotGameScores[Team Number],RobotGameScores[Robot Game 5 Score],0,0,))</f>
        <v>0</v>
      </c>
      <c r="H190"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90" s="63">
        <f>IF(TournamentData[[#This Row],[Team Number]]="","",_xlfn.RANK.EQ(TournamentData[[#This Row],[Max Robot Game Score]],TournamentData[Max Robot Game Score]))</f>
        <v>1</v>
      </c>
      <c r="J190" s="63">
        <f>IF(TournamentData[[#This Row],[Team Number]]="","",_xlfn.XLOOKUP(TournamentData[[#This Row],[Team Number]],CoreValuesResults[Team Number],CoreValuesResults[Core Values Rank],NumberOfTeams+1,0,))</f>
        <v>1</v>
      </c>
      <c r="K190" s="63">
        <f>IF(TournamentData[[#This Row],[Team Number]]="","",_xlfn.XLOOKUP(TournamentData[[#This Row],[Team Number]],InnovationProjectResults[Team Number],InnovationProjectResults[Innovation Project Rank],NumberOfTeams+1,0,))</f>
        <v>1</v>
      </c>
      <c r="L190" s="63">
        <f>IF(TournamentData[[#This Row],[Team Number]]="","",_xlfn.XLOOKUP(TournamentData[[#This Row],[Team Number]],RobotDesignResults[Team Number],RobotDesignResults[Robot Design Rank],NumberOfTeams+1,0,))</f>
        <v>1</v>
      </c>
      <c r="M190"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90" s="64">
        <f>IF(TournamentData[[#This Row],[Team Number]]="","",IF(M190,RANK(M190,M$3:M$202,1)-COUNTIF(M$3:M$202,0),NumberOfTeams+1))</f>
        <v>1</v>
      </c>
      <c r="O190" s="70">
        <f>_xlfn.XLOOKUP(TournamentData[[#This Row],[Team Number]],CoreValuesResults[Team Number],CoreValuesResults[Breakthrough Selection],0,0,)</f>
        <v>0</v>
      </c>
      <c r="P190" s="70">
        <f>_xlfn.XLOOKUP(TournamentData[[#This Row],[Team Number]],CoreValuesResults[Team Number],CoreValuesResults[Rising All-Star Selection],0,0,)</f>
        <v>0</v>
      </c>
      <c r="Q190" s="70">
        <f>_xlfn.XLOOKUP(TournamentData[[#This Row],[Team Number]],CoreValuesResults[Team Number],CoreValuesResults[Motivate Selection],0,0,)</f>
        <v>0</v>
      </c>
      <c r="R190" s="66"/>
      <c r="S190" s="66"/>
      <c r="T190" s="67"/>
      <c r="U190" s="63">
        <f>_xlfn.XLOOKUP(TournamentData[[#This Row],[Team Number]],CoreValuesResults[Team Number],CoreValuesResults[Core Values Score],0,0,)</f>
        <v>0</v>
      </c>
      <c r="V190" s="63">
        <f>_xlfn.XLOOKUP(TournamentData[[#This Row],[Team Number]],InnovationProjectResults[Team Number],InnovationProjectResults[Innovation Project Score],0,0,)</f>
        <v>0</v>
      </c>
      <c r="W190" s="63">
        <f>_xlfn.XLOOKUP(TournamentData[[#This Row],[Team Number]],RobotDesignResults[Team Number],RobotDesignResults[Robot Design Score],0,0,)</f>
        <v>0</v>
      </c>
      <c r="X190"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90" s="71">
        <f t="shared" si="5"/>
        <v>0</v>
      </c>
      <c r="Z190" s="66"/>
    </row>
    <row r="191" spans="1:26" ht="21" customHeight="1" x14ac:dyDescent="0.45">
      <c r="A191">
        <f>_xlfn.XLOOKUP(189,OfficialTeamList[Row],OfficialTeamList[Team Number],"ERROR",0)</f>
        <v>0</v>
      </c>
      <c r="B191" s="62" t="str">
        <f>_xlfn.XLOOKUP(TournamentData[[#This Row],[Team Number]],OfficialTeamList[Team Number],OfficialTeamList[Team Name],"",0,)</f>
        <v/>
      </c>
      <c r="C191" s="63">
        <f>IF(TournamentData[[#This Row],[Team Number]]="","",_xlfn.XLOOKUP(TournamentData[[#This Row],[Team Number]],RobotGameScores[Team Number],RobotGameScores[Robot Game 1 Score],0,0,))</f>
        <v>0</v>
      </c>
      <c r="D191" s="63">
        <f>IF(TournamentData[[#This Row],[Team Number]]="","",_xlfn.XLOOKUP(TournamentData[[#This Row],[Team Number]],RobotGameScores[Team Number],RobotGameScores[Robot Game 2 Score],0,0,))</f>
        <v>0</v>
      </c>
      <c r="E191" s="63">
        <f>IF(TournamentData[[#This Row],[Team Number]]="","",_xlfn.XLOOKUP(TournamentData[[#This Row],[Team Number]],RobotGameScores[Team Number],RobotGameScores[Robot Game 3 Score],0,0,))</f>
        <v>0</v>
      </c>
      <c r="F191" s="63">
        <f>IF(TournamentData[[#This Row],[Team Number]]="","",_xlfn.XLOOKUP(TournamentData[[#This Row],[Team Number]],RobotGameScores[Team Number],RobotGameScores[Robot Game 4 Score],0,0,))</f>
        <v>0</v>
      </c>
      <c r="G191" s="63">
        <f>IF(TournamentData[[#This Row],[Team Number]]="","",_xlfn.XLOOKUP(TournamentData[[#This Row],[Team Number]],RobotGameScores[Team Number],RobotGameScores[Robot Game 5 Score],0,0,))</f>
        <v>0</v>
      </c>
      <c r="H191"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91" s="63">
        <f>IF(TournamentData[[#This Row],[Team Number]]="","",_xlfn.RANK.EQ(TournamentData[[#This Row],[Max Robot Game Score]],TournamentData[Max Robot Game Score]))</f>
        <v>1</v>
      </c>
      <c r="J191" s="63">
        <f>IF(TournamentData[[#This Row],[Team Number]]="","",_xlfn.XLOOKUP(TournamentData[[#This Row],[Team Number]],CoreValuesResults[Team Number],CoreValuesResults[Core Values Rank],NumberOfTeams+1,0,))</f>
        <v>1</v>
      </c>
      <c r="K191" s="63">
        <f>IF(TournamentData[[#This Row],[Team Number]]="","",_xlfn.XLOOKUP(TournamentData[[#This Row],[Team Number]],InnovationProjectResults[Team Number],InnovationProjectResults[Innovation Project Rank],NumberOfTeams+1,0,))</f>
        <v>1</v>
      </c>
      <c r="L191" s="63">
        <f>IF(TournamentData[[#This Row],[Team Number]]="","",_xlfn.XLOOKUP(TournamentData[[#This Row],[Team Number]],RobotDesignResults[Team Number],RobotDesignResults[Robot Design Rank],NumberOfTeams+1,0,))</f>
        <v>1</v>
      </c>
      <c r="M191"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91" s="64">
        <f>IF(TournamentData[[#This Row],[Team Number]]="","",IF(M191,RANK(M191,M$3:M$202,1)-COUNTIF(M$3:M$202,0),NumberOfTeams+1))</f>
        <v>1</v>
      </c>
      <c r="O191" s="70">
        <f>_xlfn.XLOOKUP(TournamentData[[#This Row],[Team Number]],CoreValuesResults[Team Number],CoreValuesResults[Breakthrough Selection],0,0,)</f>
        <v>0</v>
      </c>
      <c r="P191" s="70">
        <f>_xlfn.XLOOKUP(TournamentData[[#This Row],[Team Number]],CoreValuesResults[Team Number],CoreValuesResults[Rising All-Star Selection],0,0,)</f>
        <v>0</v>
      </c>
      <c r="Q191" s="70">
        <f>_xlfn.XLOOKUP(TournamentData[[#This Row],[Team Number]],CoreValuesResults[Team Number],CoreValuesResults[Motivate Selection],0,0,)</f>
        <v>0</v>
      </c>
      <c r="R191" s="66"/>
      <c r="S191" s="66"/>
      <c r="T191" s="67"/>
      <c r="U191" s="63">
        <f>_xlfn.XLOOKUP(TournamentData[[#This Row],[Team Number]],CoreValuesResults[Team Number],CoreValuesResults[Core Values Score],0,0,)</f>
        <v>0</v>
      </c>
      <c r="V191" s="63">
        <f>_xlfn.XLOOKUP(TournamentData[[#This Row],[Team Number]],InnovationProjectResults[Team Number],InnovationProjectResults[Innovation Project Score],0,0,)</f>
        <v>0</v>
      </c>
      <c r="W191" s="63">
        <f>_xlfn.XLOOKUP(TournamentData[[#This Row],[Team Number]],RobotDesignResults[Team Number],RobotDesignResults[Robot Design Score],0,0,)</f>
        <v>0</v>
      </c>
      <c r="X191"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91" s="71">
        <f t="shared" si="5"/>
        <v>0</v>
      </c>
      <c r="Z191" s="66"/>
    </row>
    <row r="192" spans="1:26" ht="21" customHeight="1" x14ac:dyDescent="0.45">
      <c r="A192">
        <f>_xlfn.XLOOKUP(190,OfficialTeamList[Row],OfficialTeamList[Team Number],"ERROR",0)</f>
        <v>0</v>
      </c>
      <c r="B192" s="62" t="str">
        <f>_xlfn.XLOOKUP(TournamentData[[#This Row],[Team Number]],OfficialTeamList[Team Number],OfficialTeamList[Team Name],"",0,)</f>
        <v/>
      </c>
      <c r="C192" s="63">
        <f>IF(TournamentData[[#This Row],[Team Number]]="","",_xlfn.XLOOKUP(TournamentData[[#This Row],[Team Number]],RobotGameScores[Team Number],RobotGameScores[Robot Game 1 Score],0,0,))</f>
        <v>0</v>
      </c>
      <c r="D192" s="63">
        <f>IF(TournamentData[[#This Row],[Team Number]]="","",_xlfn.XLOOKUP(TournamentData[[#This Row],[Team Number]],RobotGameScores[Team Number],RobotGameScores[Robot Game 2 Score],0,0,))</f>
        <v>0</v>
      </c>
      <c r="E192" s="63">
        <f>IF(TournamentData[[#This Row],[Team Number]]="","",_xlfn.XLOOKUP(TournamentData[[#This Row],[Team Number]],RobotGameScores[Team Number],RobotGameScores[Robot Game 3 Score],0,0,))</f>
        <v>0</v>
      </c>
      <c r="F192" s="63">
        <f>IF(TournamentData[[#This Row],[Team Number]]="","",_xlfn.XLOOKUP(TournamentData[[#This Row],[Team Number]],RobotGameScores[Team Number],RobotGameScores[Robot Game 4 Score],0,0,))</f>
        <v>0</v>
      </c>
      <c r="G192" s="63">
        <f>IF(TournamentData[[#This Row],[Team Number]]="","",_xlfn.XLOOKUP(TournamentData[[#This Row],[Team Number]],RobotGameScores[Team Number],RobotGameScores[Robot Game 5 Score],0,0,))</f>
        <v>0</v>
      </c>
      <c r="H192"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92" s="63">
        <f>IF(TournamentData[[#This Row],[Team Number]]="","",_xlfn.RANK.EQ(TournamentData[[#This Row],[Max Robot Game Score]],TournamentData[Max Robot Game Score]))</f>
        <v>1</v>
      </c>
      <c r="J192" s="63">
        <f>IF(TournamentData[[#This Row],[Team Number]]="","",_xlfn.XLOOKUP(TournamentData[[#This Row],[Team Number]],CoreValuesResults[Team Number],CoreValuesResults[Core Values Rank],NumberOfTeams+1,0,))</f>
        <v>1</v>
      </c>
      <c r="K192" s="63">
        <f>IF(TournamentData[[#This Row],[Team Number]]="","",_xlfn.XLOOKUP(TournamentData[[#This Row],[Team Number]],InnovationProjectResults[Team Number],InnovationProjectResults[Innovation Project Rank],NumberOfTeams+1,0,))</f>
        <v>1</v>
      </c>
      <c r="L192" s="63">
        <f>IF(TournamentData[[#This Row],[Team Number]]="","",_xlfn.XLOOKUP(TournamentData[[#This Row],[Team Number]],RobotDesignResults[Team Number],RobotDesignResults[Robot Design Rank],NumberOfTeams+1,0,))</f>
        <v>1</v>
      </c>
      <c r="M192"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92" s="64">
        <f>IF(TournamentData[[#This Row],[Team Number]]="","",IF(M192,RANK(M192,M$3:M$202,1)-COUNTIF(M$3:M$202,0),NumberOfTeams+1))</f>
        <v>1</v>
      </c>
      <c r="O192" s="70">
        <f>_xlfn.XLOOKUP(TournamentData[[#This Row],[Team Number]],CoreValuesResults[Team Number],CoreValuesResults[Breakthrough Selection],0,0,)</f>
        <v>0</v>
      </c>
      <c r="P192" s="70">
        <f>_xlfn.XLOOKUP(TournamentData[[#This Row],[Team Number]],CoreValuesResults[Team Number],CoreValuesResults[Rising All-Star Selection],0,0,)</f>
        <v>0</v>
      </c>
      <c r="Q192" s="70">
        <f>_xlfn.XLOOKUP(TournamentData[[#This Row],[Team Number]],CoreValuesResults[Team Number],CoreValuesResults[Motivate Selection],0,0,)</f>
        <v>0</v>
      </c>
      <c r="R192" s="66"/>
      <c r="S192" s="66"/>
      <c r="T192" s="67"/>
      <c r="U192" s="63">
        <f>_xlfn.XLOOKUP(TournamentData[[#This Row],[Team Number]],CoreValuesResults[Team Number],CoreValuesResults[Core Values Score],0,0,)</f>
        <v>0</v>
      </c>
      <c r="V192" s="63">
        <f>_xlfn.XLOOKUP(TournamentData[[#This Row],[Team Number]],InnovationProjectResults[Team Number],InnovationProjectResults[Innovation Project Score],0,0,)</f>
        <v>0</v>
      </c>
      <c r="W192" s="63">
        <f>_xlfn.XLOOKUP(TournamentData[[#This Row],[Team Number]],RobotDesignResults[Team Number],RobotDesignResults[Robot Design Score],0,0,)</f>
        <v>0</v>
      </c>
      <c r="X192"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92" s="71">
        <f t="shared" si="5"/>
        <v>0</v>
      </c>
      <c r="Z192" s="66"/>
    </row>
    <row r="193" spans="1:26" ht="21" customHeight="1" x14ac:dyDescent="0.45">
      <c r="A193">
        <f>_xlfn.XLOOKUP(191,OfficialTeamList[Row],OfficialTeamList[Team Number],"ERROR",0)</f>
        <v>0</v>
      </c>
      <c r="B193" s="62" t="str">
        <f>_xlfn.XLOOKUP(TournamentData[[#This Row],[Team Number]],OfficialTeamList[Team Number],OfficialTeamList[Team Name],"",0,)</f>
        <v/>
      </c>
      <c r="C193" s="63">
        <f>IF(TournamentData[[#This Row],[Team Number]]="","",_xlfn.XLOOKUP(TournamentData[[#This Row],[Team Number]],RobotGameScores[Team Number],RobotGameScores[Robot Game 1 Score],0,0,))</f>
        <v>0</v>
      </c>
      <c r="D193" s="63">
        <f>IF(TournamentData[[#This Row],[Team Number]]="","",_xlfn.XLOOKUP(TournamentData[[#This Row],[Team Number]],RobotGameScores[Team Number],RobotGameScores[Robot Game 2 Score],0,0,))</f>
        <v>0</v>
      </c>
      <c r="E193" s="63">
        <f>IF(TournamentData[[#This Row],[Team Number]]="","",_xlfn.XLOOKUP(TournamentData[[#This Row],[Team Number]],RobotGameScores[Team Number],RobotGameScores[Robot Game 3 Score],0,0,))</f>
        <v>0</v>
      </c>
      <c r="F193" s="63">
        <f>IF(TournamentData[[#This Row],[Team Number]]="","",_xlfn.XLOOKUP(TournamentData[[#This Row],[Team Number]],RobotGameScores[Team Number],RobotGameScores[Robot Game 4 Score],0,0,))</f>
        <v>0</v>
      </c>
      <c r="G193" s="63">
        <f>IF(TournamentData[[#This Row],[Team Number]]="","",_xlfn.XLOOKUP(TournamentData[[#This Row],[Team Number]],RobotGameScores[Team Number],RobotGameScores[Robot Game 5 Score],0,0,))</f>
        <v>0</v>
      </c>
      <c r="H193"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93" s="63">
        <f>IF(TournamentData[[#This Row],[Team Number]]="","",_xlfn.RANK.EQ(TournamentData[[#This Row],[Max Robot Game Score]],TournamentData[Max Robot Game Score]))</f>
        <v>1</v>
      </c>
      <c r="J193" s="63">
        <f>IF(TournamentData[[#This Row],[Team Number]]="","",_xlfn.XLOOKUP(TournamentData[[#This Row],[Team Number]],CoreValuesResults[Team Number],CoreValuesResults[Core Values Rank],NumberOfTeams+1,0,))</f>
        <v>1</v>
      </c>
      <c r="K193" s="63">
        <f>IF(TournamentData[[#This Row],[Team Number]]="","",_xlfn.XLOOKUP(TournamentData[[#This Row],[Team Number]],InnovationProjectResults[Team Number],InnovationProjectResults[Innovation Project Rank],NumberOfTeams+1,0,))</f>
        <v>1</v>
      </c>
      <c r="L193" s="63">
        <f>IF(TournamentData[[#This Row],[Team Number]]="","",_xlfn.XLOOKUP(TournamentData[[#This Row],[Team Number]],RobotDesignResults[Team Number],RobotDesignResults[Robot Design Rank],NumberOfTeams+1,0,))</f>
        <v>1</v>
      </c>
      <c r="M193"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93" s="64">
        <f>IF(TournamentData[[#This Row],[Team Number]]="","",IF(M193,RANK(M193,M$3:M$202,1)-COUNTIF(M$3:M$202,0),NumberOfTeams+1))</f>
        <v>1</v>
      </c>
      <c r="O193" s="70">
        <f>_xlfn.XLOOKUP(TournamentData[[#This Row],[Team Number]],CoreValuesResults[Team Number],CoreValuesResults[Breakthrough Selection],0,0,)</f>
        <v>0</v>
      </c>
      <c r="P193" s="70">
        <f>_xlfn.XLOOKUP(TournamentData[[#This Row],[Team Number]],CoreValuesResults[Team Number],CoreValuesResults[Rising All-Star Selection],0,0,)</f>
        <v>0</v>
      </c>
      <c r="Q193" s="70">
        <f>_xlfn.XLOOKUP(TournamentData[[#This Row],[Team Number]],CoreValuesResults[Team Number],CoreValuesResults[Motivate Selection],0,0,)</f>
        <v>0</v>
      </c>
      <c r="R193" s="66"/>
      <c r="S193" s="66"/>
      <c r="T193" s="67"/>
      <c r="U193" s="63">
        <f>_xlfn.XLOOKUP(TournamentData[[#This Row],[Team Number]],CoreValuesResults[Team Number],CoreValuesResults[Core Values Score],0,0,)</f>
        <v>0</v>
      </c>
      <c r="V193" s="63">
        <f>_xlfn.XLOOKUP(TournamentData[[#This Row],[Team Number]],InnovationProjectResults[Team Number],InnovationProjectResults[Innovation Project Score],0,0,)</f>
        <v>0</v>
      </c>
      <c r="W193" s="63">
        <f>_xlfn.XLOOKUP(TournamentData[[#This Row],[Team Number]],RobotDesignResults[Team Number],RobotDesignResults[Robot Design Score],0,0,)</f>
        <v>0</v>
      </c>
      <c r="X193"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93" s="71">
        <f t="shared" si="5"/>
        <v>0</v>
      </c>
      <c r="Z193" s="66"/>
    </row>
    <row r="194" spans="1:26" ht="21" customHeight="1" x14ac:dyDescent="0.45">
      <c r="A194">
        <f>_xlfn.XLOOKUP(192,OfficialTeamList[Row],OfficialTeamList[Team Number],"ERROR",0)</f>
        <v>0</v>
      </c>
      <c r="B194" s="62" t="str">
        <f>_xlfn.XLOOKUP(TournamentData[[#This Row],[Team Number]],OfficialTeamList[Team Number],OfficialTeamList[Team Name],"",0,)</f>
        <v/>
      </c>
      <c r="C194" s="63">
        <f>IF(TournamentData[[#This Row],[Team Number]]="","",_xlfn.XLOOKUP(TournamentData[[#This Row],[Team Number]],RobotGameScores[Team Number],RobotGameScores[Robot Game 1 Score],0,0,))</f>
        <v>0</v>
      </c>
      <c r="D194" s="63">
        <f>IF(TournamentData[[#This Row],[Team Number]]="","",_xlfn.XLOOKUP(TournamentData[[#This Row],[Team Number]],RobotGameScores[Team Number],RobotGameScores[Robot Game 2 Score],0,0,))</f>
        <v>0</v>
      </c>
      <c r="E194" s="63">
        <f>IF(TournamentData[[#This Row],[Team Number]]="","",_xlfn.XLOOKUP(TournamentData[[#This Row],[Team Number]],RobotGameScores[Team Number],RobotGameScores[Robot Game 3 Score],0,0,))</f>
        <v>0</v>
      </c>
      <c r="F194" s="63">
        <f>IF(TournamentData[[#This Row],[Team Number]]="","",_xlfn.XLOOKUP(TournamentData[[#This Row],[Team Number]],RobotGameScores[Team Number],RobotGameScores[Robot Game 4 Score],0,0,))</f>
        <v>0</v>
      </c>
      <c r="G194" s="63">
        <f>IF(TournamentData[[#This Row],[Team Number]]="","",_xlfn.XLOOKUP(TournamentData[[#This Row],[Team Number]],RobotGameScores[Team Number],RobotGameScores[Robot Game 5 Score],0,0,))</f>
        <v>0</v>
      </c>
      <c r="H194"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94" s="63">
        <f>IF(TournamentData[[#This Row],[Team Number]]="","",_xlfn.RANK.EQ(TournamentData[[#This Row],[Max Robot Game Score]],TournamentData[Max Robot Game Score]))</f>
        <v>1</v>
      </c>
      <c r="J194" s="63">
        <f>IF(TournamentData[[#This Row],[Team Number]]="","",_xlfn.XLOOKUP(TournamentData[[#This Row],[Team Number]],CoreValuesResults[Team Number],CoreValuesResults[Core Values Rank],NumberOfTeams+1,0,))</f>
        <v>1</v>
      </c>
      <c r="K194" s="63">
        <f>IF(TournamentData[[#This Row],[Team Number]]="","",_xlfn.XLOOKUP(TournamentData[[#This Row],[Team Number]],InnovationProjectResults[Team Number],InnovationProjectResults[Innovation Project Rank],NumberOfTeams+1,0,))</f>
        <v>1</v>
      </c>
      <c r="L194" s="63">
        <f>IF(TournamentData[[#This Row],[Team Number]]="","",_xlfn.XLOOKUP(TournamentData[[#This Row],[Team Number]],RobotDesignResults[Team Number],RobotDesignResults[Robot Design Rank],NumberOfTeams+1,0,))</f>
        <v>1</v>
      </c>
      <c r="M194"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94" s="64">
        <f>IF(TournamentData[[#This Row],[Team Number]]="","",IF(M194,RANK(M194,M$3:M$202,1)-COUNTIF(M$3:M$202,0),NumberOfTeams+1))</f>
        <v>1</v>
      </c>
      <c r="O194" s="70">
        <f>_xlfn.XLOOKUP(TournamentData[[#This Row],[Team Number]],CoreValuesResults[Team Number],CoreValuesResults[Breakthrough Selection],0,0,)</f>
        <v>0</v>
      </c>
      <c r="P194" s="70">
        <f>_xlfn.XLOOKUP(TournamentData[[#This Row],[Team Number]],CoreValuesResults[Team Number],CoreValuesResults[Rising All-Star Selection],0,0,)</f>
        <v>0</v>
      </c>
      <c r="Q194" s="70">
        <f>_xlfn.XLOOKUP(TournamentData[[#This Row],[Team Number]],CoreValuesResults[Team Number],CoreValuesResults[Motivate Selection],0,0,)</f>
        <v>0</v>
      </c>
      <c r="R194" s="66"/>
      <c r="S194" s="66"/>
      <c r="T194" s="67"/>
      <c r="U194" s="63">
        <f>_xlfn.XLOOKUP(TournamentData[[#This Row],[Team Number]],CoreValuesResults[Team Number],CoreValuesResults[Core Values Score],0,0,)</f>
        <v>0</v>
      </c>
      <c r="V194" s="63">
        <f>_xlfn.XLOOKUP(TournamentData[[#This Row],[Team Number]],InnovationProjectResults[Team Number],InnovationProjectResults[Innovation Project Score],0,0,)</f>
        <v>0</v>
      </c>
      <c r="W194" s="63">
        <f>_xlfn.XLOOKUP(TournamentData[[#This Row],[Team Number]],RobotDesignResults[Team Number],RobotDesignResults[Robot Design Score],0,0,)</f>
        <v>0</v>
      </c>
      <c r="X194"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94" s="71">
        <f t="shared" si="5"/>
        <v>0</v>
      </c>
      <c r="Z194" s="66"/>
    </row>
    <row r="195" spans="1:26" ht="21" customHeight="1" x14ac:dyDescent="0.45">
      <c r="A195">
        <f>_xlfn.XLOOKUP(193,OfficialTeamList[Row],OfficialTeamList[Team Number],"ERROR",0)</f>
        <v>0</v>
      </c>
      <c r="B195" s="62" t="str">
        <f>_xlfn.XLOOKUP(TournamentData[[#This Row],[Team Number]],OfficialTeamList[Team Number],OfficialTeamList[Team Name],"",0,)</f>
        <v/>
      </c>
      <c r="C195" s="63">
        <f>IF(TournamentData[[#This Row],[Team Number]]="","",_xlfn.XLOOKUP(TournamentData[[#This Row],[Team Number]],RobotGameScores[Team Number],RobotGameScores[Robot Game 1 Score],0,0,))</f>
        <v>0</v>
      </c>
      <c r="D195" s="63">
        <f>IF(TournamentData[[#This Row],[Team Number]]="","",_xlfn.XLOOKUP(TournamentData[[#This Row],[Team Number]],RobotGameScores[Team Number],RobotGameScores[Robot Game 2 Score],0,0,))</f>
        <v>0</v>
      </c>
      <c r="E195" s="63">
        <f>IF(TournamentData[[#This Row],[Team Number]]="","",_xlfn.XLOOKUP(TournamentData[[#This Row],[Team Number]],RobotGameScores[Team Number],RobotGameScores[Robot Game 3 Score],0,0,))</f>
        <v>0</v>
      </c>
      <c r="F195" s="63">
        <f>IF(TournamentData[[#This Row],[Team Number]]="","",_xlfn.XLOOKUP(TournamentData[[#This Row],[Team Number]],RobotGameScores[Team Number],RobotGameScores[Robot Game 4 Score],0,0,))</f>
        <v>0</v>
      </c>
      <c r="G195" s="63">
        <f>IF(TournamentData[[#This Row],[Team Number]]="","",_xlfn.XLOOKUP(TournamentData[[#This Row],[Team Number]],RobotGameScores[Team Number],RobotGameScores[Robot Game 5 Score],0,0,))</f>
        <v>0</v>
      </c>
      <c r="H195"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95" s="63">
        <f>IF(TournamentData[[#This Row],[Team Number]]="","",_xlfn.RANK.EQ(TournamentData[[#This Row],[Max Robot Game Score]],TournamentData[Max Robot Game Score]))</f>
        <v>1</v>
      </c>
      <c r="J195" s="63">
        <f>IF(TournamentData[[#This Row],[Team Number]]="","",_xlfn.XLOOKUP(TournamentData[[#This Row],[Team Number]],CoreValuesResults[Team Number],CoreValuesResults[Core Values Rank],NumberOfTeams+1,0,))</f>
        <v>1</v>
      </c>
      <c r="K195" s="63">
        <f>IF(TournamentData[[#This Row],[Team Number]]="","",_xlfn.XLOOKUP(TournamentData[[#This Row],[Team Number]],InnovationProjectResults[Team Number],InnovationProjectResults[Innovation Project Rank],NumberOfTeams+1,0,))</f>
        <v>1</v>
      </c>
      <c r="L195" s="63">
        <f>IF(TournamentData[[#This Row],[Team Number]]="","",_xlfn.XLOOKUP(TournamentData[[#This Row],[Team Number]],RobotDesignResults[Team Number],RobotDesignResults[Robot Design Rank],NumberOfTeams+1,0,))</f>
        <v>1</v>
      </c>
      <c r="M195"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95" s="64">
        <f>IF(TournamentData[[#This Row],[Team Number]]="","",IF(M195,RANK(M195,M$3:M$202,1)-COUNTIF(M$3:M$202,0),NumberOfTeams+1))</f>
        <v>1</v>
      </c>
      <c r="O195" s="70">
        <f>_xlfn.XLOOKUP(TournamentData[[#This Row],[Team Number]],CoreValuesResults[Team Number],CoreValuesResults[Breakthrough Selection],0,0,)</f>
        <v>0</v>
      </c>
      <c r="P195" s="70">
        <f>_xlfn.XLOOKUP(TournamentData[[#This Row],[Team Number]],CoreValuesResults[Team Number],CoreValuesResults[Rising All-Star Selection],0,0,)</f>
        <v>0</v>
      </c>
      <c r="Q195" s="70">
        <f>_xlfn.XLOOKUP(TournamentData[[#This Row],[Team Number]],CoreValuesResults[Team Number],CoreValuesResults[Motivate Selection],0,0,)</f>
        <v>0</v>
      </c>
      <c r="R195" s="66"/>
      <c r="S195" s="66"/>
      <c r="T195" s="67"/>
      <c r="U195" s="63">
        <f>_xlfn.XLOOKUP(TournamentData[[#This Row],[Team Number]],CoreValuesResults[Team Number],CoreValuesResults[Core Values Score],0,0,)</f>
        <v>0</v>
      </c>
      <c r="V195" s="63">
        <f>_xlfn.XLOOKUP(TournamentData[[#This Row],[Team Number]],InnovationProjectResults[Team Number],InnovationProjectResults[Innovation Project Score],0,0,)</f>
        <v>0</v>
      </c>
      <c r="W195" s="63">
        <f>_xlfn.XLOOKUP(TournamentData[[#This Row],[Team Number]],RobotDesignResults[Team Number],RobotDesignResults[Robot Design Score],0,0,)</f>
        <v>0</v>
      </c>
      <c r="X195"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95" s="71">
        <f t="shared" ref="Y195:Y202" si="6">IF(X195,_xlfn.RANK.EQ(X195,X$3:X$110,0),NumberOfTeams)</f>
        <v>0</v>
      </c>
      <c r="Z195" s="66"/>
    </row>
    <row r="196" spans="1:26" ht="21" customHeight="1" x14ac:dyDescent="0.45">
      <c r="A196">
        <f>_xlfn.XLOOKUP(194,OfficialTeamList[Row],OfficialTeamList[Team Number],"ERROR",0)</f>
        <v>0</v>
      </c>
      <c r="B196" s="62" t="str">
        <f>_xlfn.XLOOKUP(TournamentData[[#This Row],[Team Number]],OfficialTeamList[Team Number],OfficialTeamList[Team Name],"",0,)</f>
        <v/>
      </c>
      <c r="C196" s="63">
        <f>IF(TournamentData[[#This Row],[Team Number]]="","",_xlfn.XLOOKUP(TournamentData[[#This Row],[Team Number]],RobotGameScores[Team Number],RobotGameScores[Robot Game 1 Score],0,0,))</f>
        <v>0</v>
      </c>
      <c r="D196" s="63">
        <f>IF(TournamentData[[#This Row],[Team Number]]="","",_xlfn.XLOOKUP(TournamentData[[#This Row],[Team Number]],RobotGameScores[Team Number],RobotGameScores[Robot Game 2 Score],0,0,))</f>
        <v>0</v>
      </c>
      <c r="E196" s="63">
        <f>IF(TournamentData[[#This Row],[Team Number]]="","",_xlfn.XLOOKUP(TournamentData[[#This Row],[Team Number]],RobotGameScores[Team Number],RobotGameScores[Robot Game 3 Score],0,0,))</f>
        <v>0</v>
      </c>
      <c r="F196" s="63">
        <f>IF(TournamentData[[#This Row],[Team Number]]="","",_xlfn.XLOOKUP(TournamentData[[#This Row],[Team Number]],RobotGameScores[Team Number],RobotGameScores[Robot Game 4 Score],0,0,))</f>
        <v>0</v>
      </c>
      <c r="G196" s="63">
        <f>IF(TournamentData[[#This Row],[Team Number]]="","",_xlfn.XLOOKUP(TournamentData[[#This Row],[Team Number]],RobotGameScores[Team Number],RobotGameScores[Robot Game 5 Score],0,0,))</f>
        <v>0</v>
      </c>
      <c r="H196"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96" s="63">
        <f>IF(TournamentData[[#This Row],[Team Number]]="","",_xlfn.RANK.EQ(TournamentData[[#This Row],[Max Robot Game Score]],TournamentData[Max Robot Game Score]))</f>
        <v>1</v>
      </c>
      <c r="J196" s="63">
        <f>IF(TournamentData[[#This Row],[Team Number]]="","",_xlfn.XLOOKUP(TournamentData[[#This Row],[Team Number]],CoreValuesResults[Team Number],CoreValuesResults[Core Values Rank],NumberOfTeams+1,0,))</f>
        <v>1</v>
      </c>
      <c r="K196" s="63">
        <f>IF(TournamentData[[#This Row],[Team Number]]="","",_xlfn.XLOOKUP(TournamentData[[#This Row],[Team Number]],InnovationProjectResults[Team Number],InnovationProjectResults[Innovation Project Rank],NumberOfTeams+1,0,))</f>
        <v>1</v>
      </c>
      <c r="L196" s="63">
        <f>IF(TournamentData[[#This Row],[Team Number]]="","",_xlfn.XLOOKUP(TournamentData[[#This Row],[Team Number]],RobotDesignResults[Team Number],RobotDesignResults[Robot Design Rank],NumberOfTeams+1,0,))</f>
        <v>1</v>
      </c>
      <c r="M196"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96" s="64">
        <f>IF(TournamentData[[#This Row],[Team Number]]="","",IF(M196,RANK(M196,M$3:M$202,1)-COUNTIF(M$3:M$202,0),NumberOfTeams+1))</f>
        <v>1</v>
      </c>
      <c r="O196" s="70">
        <f>_xlfn.XLOOKUP(TournamentData[[#This Row],[Team Number]],CoreValuesResults[Team Number],CoreValuesResults[Breakthrough Selection],0,0,)</f>
        <v>0</v>
      </c>
      <c r="P196" s="70">
        <f>_xlfn.XLOOKUP(TournamentData[[#This Row],[Team Number]],CoreValuesResults[Team Number],CoreValuesResults[Rising All-Star Selection],0,0,)</f>
        <v>0</v>
      </c>
      <c r="Q196" s="70">
        <f>_xlfn.XLOOKUP(TournamentData[[#This Row],[Team Number]],CoreValuesResults[Team Number],CoreValuesResults[Motivate Selection],0,0,)</f>
        <v>0</v>
      </c>
      <c r="R196" s="66"/>
      <c r="S196" s="66"/>
      <c r="T196" s="67"/>
      <c r="U196" s="63">
        <f>_xlfn.XLOOKUP(TournamentData[[#This Row],[Team Number]],CoreValuesResults[Team Number],CoreValuesResults[Core Values Score],0,0,)</f>
        <v>0</v>
      </c>
      <c r="V196" s="63">
        <f>_xlfn.XLOOKUP(TournamentData[[#This Row],[Team Number]],InnovationProjectResults[Team Number],InnovationProjectResults[Innovation Project Score],0,0,)</f>
        <v>0</v>
      </c>
      <c r="W196" s="63">
        <f>_xlfn.XLOOKUP(TournamentData[[#This Row],[Team Number]],RobotDesignResults[Team Number],RobotDesignResults[Robot Design Score],0,0,)</f>
        <v>0</v>
      </c>
      <c r="X196"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96" s="71">
        <f t="shared" si="6"/>
        <v>0</v>
      </c>
      <c r="Z196" s="66"/>
    </row>
    <row r="197" spans="1:26" ht="21" customHeight="1" x14ac:dyDescent="0.45">
      <c r="A197">
        <f>_xlfn.XLOOKUP(195,OfficialTeamList[Row],OfficialTeamList[Team Number],"ERROR",0)</f>
        <v>0</v>
      </c>
      <c r="B197" s="62" t="str">
        <f>_xlfn.XLOOKUP(TournamentData[[#This Row],[Team Number]],OfficialTeamList[Team Number],OfficialTeamList[Team Name],"",0,)</f>
        <v/>
      </c>
      <c r="C197" s="63">
        <f>IF(TournamentData[[#This Row],[Team Number]]="","",_xlfn.XLOOKUP(TournamentData[[#This Row],[Team Number]],RobotGameScores[Team Number],RobotGameScores[Robot Game 1 Score],0,0,))</f>
        <v>0</v>
      </c>
      <c r="D197" s="63">
        <f>IF(TournamentData[[#This Row],[Team Number]]="","",_xlfn.XLOOKUP(TournamentData[[#This Row],[Team Number]],RobotGameScores[Team Number],RobotGameScores[Robot Game 2 Score],0,0,))</f>
        <v>0</v>
      </c>
      <c r="E197" s="63">
        <f>IF(TournamentData[[#This Row],[Team Number]]="","",_xlfn.XLOOKUP(TournamentData[[#This Row],[Team Number]],RobotGameScores[Team Number],RobotGameScores[Robot Game 3 Score],0,0,))</f>
        <v>0</v>
      </c>
      <c r="F197" s="63">
        <f>IF(TournamentData[[#This Row],[Team Number]]="","",_xlfn.XLOOKUP(TournamentData[[#This Row],[Team Number]],RobotGameScores[Team Number],RobotGameScores[Robot Game 4 Score],0,0,))</f>
        <v>0</v>
      </c>
      <c r="G197" s="63">
        <f>IF(TournamentData[[#This Row],[Team Number]]="","",_xlfn.XLOOKUP(TournamentData[[#This Row],[Team Number]],RobotGameScores[Team Number],RobotGameScores[Robot Game 5 Score],0,0,))</f>
        <v>0</v>
      </c>
      <c r="H197"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97" s="63">
        <f>IF(TournamentData[[#This Row],[Team Number]]="","",_xlfn.RANK.EQ(TournamentData[[#This Row],[Max Robot Game Score]],TournamentData[Max Robot Game Score]))</f>
        <v>1</v>
      </c>
      <c r="J197" s="63">
        <f>IF(TournamentData[[#This Row],[Team Number]]="","",_xlfn.XLOOKUP(TournamentData[[#This Row],[Team Number]],CoreValuesResults[Team Number],CoreValuesResults[Core Values Rank],NumberOfTeams+1,0,))</f>
        <v>1</v>
      </c>
      <c r="K197" s="63">
        <f>IF(TournamentData[[#This Row],[Team Number]]="","",_xlfn.XLOOKUP(TournamentData[[#This Row],[Team Number]],InnovationProjectResults[Team Number],InnovationProjectResults[Innovation Project Rank],NumberOfTeams+1,0,))</f>
        <v>1</v>
      </c>
      <c r="L197" s="63">
        <f>IF(TournamentData[[#This Row],[Team Number]]="","",_xlfn.XLOOKUP(TournamentData[[#This Row],[Team Number]],RobotDesignResults[Team Number],RobotDesignResults[Robot Design Rank],NumberOfTeams+1,0,))</f>
        <v>1</v>
      </c>
      <c r="M197"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97" s="64">
        <f>IF(TournamentData[[#This Row],[Team Number]]="","",IF(M197,RANK(M197,M$3:M$202,1)-COUNTIF(M$3:M$202,0),NumberOfTeams+1))</f>
        <v>1</v>
      </c>
      <c r="O197" s="70">
        <f>_xlfn.XLOOKUP(TournamentData[[#This Row],[Team Number]],CoreValuesResults[Team Number],CoreValuesResults[Breakthrough Selection],0,0,)</f>
        <v>0</v>
      </c>
      <c r="P197" s="70">
        <f>_xlfn.XLOOKUP(TournamentData[[#This Row],[Team Number]],CoreValuesResults[Team Number],CoreValuesResults[Rising All-Star Selection],0,0,)</f>
        <v>0</v>
      </c>
      <c r="Q197" s="70">
        <f>_xlfn.XLOOKUP(TournamentData[[#This Row],[Team Number]],CoreValuesResults[Team Number],CoreValuesResults[Motivate Selection],0,0,)</f>
        <v>0</v>
      </c>
      <c r="R197" s="66"/>
      <c r="S197" s="66"/>
      <c r="T197" s="67"/>
      <c r="U197" s="63">
        <f>_xlfn.XLOOKUP(TournamentData[[#This Row],[Team Number]],CoreValuesResults[Team Number],CoreValuesResults[Core Values Score],0,0,)</f>
        <v>0</v>
      </c>
      <c r="V197" s="63">
        <f>_xlfn.XLOOKUP(TournamentData[[#This Row],[Team Number]],InnovationProjectResults[Team Number],InnovationProjectResults[Innovation Project Score],0,0,)</f>
        <v>0</v>
      </c>
      <c r="W197" s="63">
        <f>_xlfn.XLOOKUP(TournamentData[[#This Row],[Team Number]],RobotDesignResults[Team Number],RobotDesignResults[Robot Design Score],0,0,)</f>
        <v>0</v>
      </c>
      <c r="X197"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97" s="71">
        <f t="shared" si="6"/>
        <v>0</v>
      </c>
      <c r="Z197" s="66"/>
    </row>
    <row r="198" spans="1:26" ht="21" customHeight="1" x14ac:dyDescent="0.45">
      <c r="A198">
        <f>_xlfn.XLOOKUP(196,OfficialTeamList[Row],OfficialTeamList[Team Number],"ERROR",0)</f>
        <v>0</v>
      </c>
      <c r="B198" s="62" t="str">
        <f>_xlfn.XLOOKUP(TournamentData[[#This Row],[Team Number]],OfficialTeamList[Team Number],OfficialTeamList[Team Name],"",0,)</f>
        <v/>
      </c>
      <c r="C198" s="63">
        <f>IF(TournamentData[[#This Row],[Team Number]]="","",_xlfn.XLOOKUP(TournamentData[[#This Row],[Team Number]],RobotGameScores[Team Number],RobotGameScores[Robot Game 1 Score],0,0,))</f>
        <v>0</v>
      </c>
      <c r="D198" s="63">
        <f>IF(TournamentData[[#This Row],[Team Number]]="","",_xlfn.XLOOKUP(TournamentData[[#This Row],[Team Number]],RobotGameScores[Team Number],RobotGameScores[Robot Game 2 Score],0,0,))</f>
        <v>0</v>
      </c>
      <c r="E198" s="63">
        <f>IF(TournamentData[[#This Row],[Team Number]]="","",_xlfn.XLOOKUP(TournamentData[[#This Row],[Team Number]],RobotGameScores[Team Number],RobotGameScores[Robot Game 3 Score],0,0,))</f>
        <v>0</v>
      </c>
      <c r="F198" s="63">
        <f>IF(TournamentData[[#This Row],[Team Number]]="","",_xlfn.XLOOKUP(TournamentData[[#This Row],[Team Number]],RobotGameScores[Team Number],RobotGameScores[Robot Game 4 Score],0,0,))</f>
        <v>0</v>
      </c>
      <c r="G198" s="63">
        <f>IF(TournamentData[[#This Row],[Team Number]]="","",_xlfn.XLOOKUP(TournamentData[[#This Row],[Team Number]],RobotGameScores[Team Number],RobotGameScores[Robot Game 5 Score],0,0,))</f>
        <v>0</v>
      </c>
      <c r="H198"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98" s="63">
        <f>IF(TournamentData[[#This Row],[Team Number]]="","",_xlfn.RANK.EQ(TournamentData[[#This Row],[Max Robot Game Score]],TournamentData[Max Robot Game Score]))</f>
        <v>1</v>
      </c>
      <c r="J198" s="63">
        <f>IF(TournamentData[[#This Row],[Team Number]]="","",_xlfn.XLOOKUP(TournamentData[[#This Row],[Team Number]],CoreValuesResults[Team Number],CoreValuesResults[Core Values Rank],NumberOfTeams+1,0,))</f>
        <v>1</v>
      </c>
      <c r="K198" s="63">
        <f>IF(TournamentData[[#This Row],[Team Number]]="","",_xlfn.XLOOKUP(TournamentData[[#This Row],[Team Number]],InnovationProjectResults[Team Number],InnovationProjectResults[Innovation Project Rank],NumberOfTeams+1,0,))</f>
        <v>1</v>
      </c>
      <c r="L198" s="63">
        <f>IF(TournamentData[[#This Row],[Team Number]]="","",_xlfn.XLOOKUP(TournamentData[[#This Row],[Team Number]],RobotDesignResults[Team Number],RobotDesignResults[Robot Design Rank],NumberOfTeams+1,0,))</f>
        <v>1</v>
      </c>
      <c r="M198"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98" s="64">
        <f>IF(TournamentData[[#This Row],[Team Number]]="","",IF(M198,RANK(M198,M$3:M$202,1)-COUNTIF(M$3:M$202,0),NumberOfTeams+1))</f>
        <v>1</v>
      </c>
      <c r="O198" s="70">
        <f>_xlfn.XLOOKUP(TournamentData[[#This Row],[Team Number]],CoreValuesResults[Team Number],CoreValuesResults[Breakthrough Selection],0,0,)</f>
        <v>0</v>
      </c>
      <c r="P198" s="70">
        <f>_xlfn.XLOOKUP(TournamentData[[#This Row],[Team Number]],CoreValuesResults[Team Number],CoreValuesResults[Rising All-Star Selection],0,0,)</f>
        <v>0</v>
      </c>
      <c r="Q198" s="70">
        <f>_xlfn.XLOOKUP(TournamentData[[#This Row],[Team Number]],CoreValuesResults[Team Number],CoreValuesResults[Motivate Selection],0,0,)</f>
        <v>0</v>
      </c>
      <c r="R198" s="66"/>
      <c r="S198" s="66"/>
      <c r="T198" s="67"/>
      <c r="U198" s="63">
        <f>_xlfn.XLOOKUP(TournamentData[[#This Row],[Team Number]],CoreValuesResults[Team Number],CoreValuesResults[Core Values Score],0,0,)</f>
        <v>0</v>
      </c>
      <c r="V198" s="63">
        <f>_xlfn.XLOOKUP(TournamentData[[#This Row],[Team Number]],InnovationProjectResults[Team Number],InnovationProjectResults[Innovation Project Score],0,0,)</f>
        <v>0</v>
      </c>
      <c r="W198" s="63">
        <f>_xlfn.XLOOKUP(TournamentData[[#This Row],[Team Number]],RobotDesignResults[Team Number],RobotDesignResults[Robot Design Score],0,0,)</f>
        <v>0</v>
      </c>
      <c r="X198"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98" s="71">
        <f t="shared" si="6"/>
        <v>0</v>
      </c>
      <c r="Z198" s="66"/>
    </row>
    <row r="199" spans="1:26" ht="21" customHeight="1" x14ac:dyDescent="0.45">
      <c r="A199">
        <f>_xlfn.XLOOKUP(197,OfficialTeamList[Row],OfficialTeamList[Team Number],"ERROR",0)</f>
        <v>0</v>
      </c>
      <c r="B199" s="62" t="str">
        <f>_xlfn.XLOOKUP(TournamentData[[#This Row],[Team Number]],OfficialTeamList[Team Number],OfficialTeamList[Team Name],"",0,)</f>
        <v/>
      </c>
      <c r="C199" s="63">
        <f>IF(TournamentData[[#This Row],[Team Number]]="","",_xlfn.XLOOKUP(TournamentData[[#This Row],[Team Number]],RobotGameScores[Team Number],RobotGameScores[Robot Game 1 Score],0,0,))</f>
        <v>0</v>
      </c>
      <c r="D199" s="63">
        <f>IF(TournamentData[[#This Row],[Team Number]]="","",_xlfn.XLOOKUP(TournamentData[[#This Row],[Team Number]],RobotGameScores[Team Number],RobotGameScores[Robot Game 2 Score],0,0,))</f>
        <v>0</v>
      </c>
      <c r="E199" s="63">
        <f>IF(TournamentData[[#This Row],[Team Number]]="","",_xlfn.XLOOKUP(TournamentData[[#This Row],[Team Number]],RobotGameScores[Team Number],RobotGameScores[Robot Game 3 Score],0,0,))</f>
        <v>0</v>
      </c>
      <c r="F199" s="63">
        <f>IF(TournamentData[[#This Row],[Team Number]]="","",_xlfn.XLOOKUP(TournamentData[[#This Row],[Team Number]],RobotGameScores[Team Number],RobotGameScores[Robot Game 4 Score],0,0,))</f>
        <v>0</v>
      </c>
      <c r="G199" s="63">
        <f>IF(TournamentData[[#This Row],[Team Number]]="","",_xlfn.XLOOKUP(TournamentData[[#This Row],[Team Number]],RobotGameScores[Team Number],RobotGameScores[Robot Game 5 Score],0,0,))</f>
        <v>0</v>
      </c>
      <c r="H199"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199" s="63">
        <f>IF(TournamentData[[#This Row],[Team Number]]="","",_xlfn.RANK.EQ(TournamentData[[#This Row],[Max Robot Game Score]],TournamentData[Max Robot Game Score]))</f>
        <v>1</v>
      </c>
      <c r="J199" s="63">
        <f>IF(TournamentData[[#This Row],[Team Number]]="","",_xlfn.XLOOKUP(TournamentData[[#This Row],[Team Number]],CoreValuesResults[Team Number],CoreValuesResults[Core Values Rank],NumberOfTeams+1,0,))</f>
        <v>1</v>
      </c>
      <c r="K199" s="63">
        <f>IF(TournamentData[[#This Row],[Team Number]]="","",_xlfn.XLOOKUP(TournamentData[[#This Row],[Team Number]],InnovationProjectResults[Team Number],InnovationProjectResults[Innovation Project Rank],NumberOfTeams+1,0,))</f>
        <v>1</v>
      </c>
      <c r="L199" s="63">
        <f>IF(TournamentData[[#This Row],[Team Number]]="","",_xlfn.XLOOKUP(TournamentData[[#This Row],[Team Number]],RobotDesignResults[Team Number],RobotDesignResults[Robot Design Rank],NumberOfTeams+1,0,))</f>
        <v>1</v>
      </c>
      <c r="M199"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199" s="64">
        <f>IF(TournamentData[[#This Row],[Team Number]]="","",IF(M199,RANK(M199,M$3:M$202,1)-COUNTIF(M$3:M$202,0),NumberOfTeams+1))</f>
        <v>1</v>
      </c>
      <c r="O199" s="70">
        <f>_xlfn.XLOOKUP(TournamentData[[#This Row],[Team Number]],CoreValuesResults[Team Number],CoreValuesResults[Breakthrough Selection],0,0,)</f>
        <v>0</v>
      </c>
      <c r="P199" s="70">
        <f>_xlfn.XLOOKUP(TournamentData[[#This Row],[Team Number]],CoreValuesResults[Team Number],CoreValuesResults[Rising All-Star Selection],0,0,)</f>
        <v>0</v>
      </c>
      <c r="Q199" s="70">
        <f>_xlfn.XLOOKUP(TournamentData[[#This Row],[Team Number]],CoreValuesResults[Team Number],CoreValuesResults[Motivate Selection],0,0,)</f>
        <v>0</v>
      </c>
      <c r="R199" s="66"/>
      <c r="S199" s="66"/>
      <c r="T199" s="67"/>
      <c r="U199" s="63">
        <f>_xlfn.XLOOKUP(TournamentData[[#This Row],[Team Number]],CoreValuesResults[Team Number],CoreValuesResults[Core Values Score],0,0,)</f>
        <v>0</v>
      </c>
      <c r="V199" s="63">
        <f>_xlfn.XLOOKUP(TournamentData[[#This Row],[Team Number]],InnovationProjectResults[Team Number],InnovationProjectResults[Innovation Project Score],0,0,)</f>
        <v>0</v>
      </c>
      <c r="W199" s="63">
        <f>_xlfn.XLOOKUP(TournamentData[[#This Row],[Team Number]],RobotDesignResults[Team Number],RobotDesignResults[Robot Design Score],0,0,)</f>
        <v>0</v>
      </c>
      <c r="X199"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199" s="71">
        <f t="shared" si="6"/>
        <v>0</v>
      </c>
      <c r="Z199" s="66"/>
    </row>
    <row r="200" spans="1:26" ht="21" customHeight="1" x14ac:dyDescent="0.45">
      <c r="A200">
        <f>_xlfn.XLOOKUP(198,OfficialTeamList[Row],OfficialTeamList[Team Number],"ERROR",0)</f>
        <v>0</v>
      </c>
      <c r="B200" s="62" t="str">
        <f>_xlfn.XLOOKUP(TournamentData[[#This Row],[Team Number]],OfficialTeamList[Team Number],OfficialTeamList[Team Name],"",0,)</f>
        <v/>
      </c>
      <c r="C200" s="63">
        <f>IF(TournamentData[[#This Row],[Team Number]]="","",_xlfn.XLOOKUP(TournamentData[[#This Row],[Team Number]],RobotGameScores[Team Number],RobotGameScores[Robot Game 1 Score],0,0,))</f>
        <v>0</v>
      </c>
      <c r="D200" s="63">
        <f>IF(TournamentData[[#This Row],[Team Number]]="","",_xlfn.XLOOKUP(TournamentData[[#This Row],[Team Number]],RobotGameScores[Team Number],RobotGameScores[Robot Game 2 Score],0,0,))</f>
        <v>0</v>
      </c>
      <c r="E200" s="63">
        <f>IF(TournamentData[[#This Row],[Team Number]]="","",_xlfn.XLOOKUP(TournamentData[[#This Row],[Team Number]],RobotGameScores[Team Number],RobotGameScores[Robot Game 3 Score],0,0,))</f>
        <v>0</v>
      </c>
      <c r="F200" s="63">
        <f>IF(TournamentData[[#This Row],[Team Number]]="","",_xlfn.XLOOKUP(TournamentData[[#This Row],[Team Number]],RobotGameScores[Team Number],RobotGameScores[Robot Game 4 Score],0,0,))</f>
        <v>0</v>
      </c>
      <c r="G200" s="63">
        <f>IF(TournamentData[[#This Row],[Team Number]]="","",_xlfn.XLOOKUP(TournamentData[[#This Row],[Team Number]],RobotGameScores[Team Number],RobotGameScores[Robot Game 5 Score],0,0,))</f>
        <v>0</v>
      </c>
      <c r="H200"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200" s="63">
        <f>IF(TournamentData[[#This Row],[Team Number]]="","",_xlfn.RANK.EQ(TournamentData[[#This Row],[Max Robot Game Score]],TournamentData[Max Robot Game Score]))</f>
        <v>1</v>
      </c>
      <c r="J200" s="63">
        <f>IF(TournamentData[[#This Row],[Team Number]]="","",_xlfn.XLOOKUP(TournamentData[[#This Row],[Team Number]],CoreValuesResults[Team Number],CoreValuesResults[Core Values Rank],NumberOfTeams+1,0,))</f>
        <v>1</v>
      </c>
      <c r="K200" s="63">
        <f>IF(TournamentData[[#This Row],[Team Number]]="","",_xlfn.XLOOKUP(TournamentData[[#This Row],[Team Number]],InnovationProjectResults[Team Number],InnovationProjectResults[Innovation Project Rank],NumberOfTeams+1,0,))</f>
        <v>1</v>
      </c>
      <c r="L200" s="63">
        <f>IF(TournamentData[[#This Row],[Team Number]]="","",_xlfn.XLOOKUP(TournamentData[[#This Row],[Team Number]],RobotDesignResults[Team Number],RobotDesignResults[Robot Design Rank],NumberOfTeams+1,0,))</f>
        <v>1</v>
      </c>
      <c r="M200"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200" s="64">
        <f>IF(TournamentData[[#This Row],[Team Number]]="","",IF(M200,RANK(M200,M$3:M$202,1)-COUNTIF(M$3:M$202,0),NumberOfTeams+1))</f>
        <v>1</v>
      </c>
      <c r="O200" s="70">
        <f>_xlfn.XLOOKUP(TournamentData[[#This Row],[Team Number]],CoreValuesResults[Team Number],CoreValuesResults[Breakthrough Selection],0,0,)</f>
        <v>0</v>
      </c>
      <c r="P200" s="70">
        <f>_xlfn.XLOOKUP(TournamentData[[#This Row],[Team Number]],CoreValuesResults[Team Number],CoreValuesResults[Rising All-Star Selection],0,0,)</f>
        <v>0</v>
      </c>
      <c r="Q200" s="70">
        <f>_xlfn.XLOOKUP(TournamentData[[#This Row],[Team Number]],CoreValuesResults[Team Number],CoreValuesResults[Motivate Selection],0,0,)</f>
        <v>0</v>
      </c>
      <c r="R200" s="66"/>
      <c r="S200" s="66"/>
      <c r="T200" s="67"/>
      <c r="U200" s="63">
        <f>_xlfn.XLOOKUP(TournamentData[[#This Row],[Team Number]],CoreValuesResults[Team Number],CoreValuesResults[Core Values Score],0,0,)</f>
        <v>0</v>
      </c>
      <c r="V200" s="63">
        <f>_xlfn.XLOOKUP(TournamentData[[#This Row],[Team Number]],InnovationProjectResults[Team Number],InnovationProjectResults[Innovation Project Score],0,0,)</f>
        <v>0</v>
      </c>
      <c r="W200" s="63">
        <f>_xlfn.XLOOKUP(TournamentData[[#This Row],[Team Number]],RobotDesignResults[Team Number],RobotDesignResults[Robot Design Score],0,0,)</f>
        <v>0</v>
      </c>
      <c r="X200"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200" s="71">
        <f t="shared" si="6"/>
        <v>0</v>
      </c>
      <c r="Z200" s="66"/>
    </row>
    <row r="201" spans="1:26" ht="21" customHeight="1" x14ac:dyDescent="0.45">
      <c r="A201">
        <f>_xlfn.XLOOKUP(199,OfficialTeamList[Row],OfficialTeamList[Team Number],"ERROR",0)</f>
        <v>0</v>
      </c>
      <c r="B201" s="62" t="str">
        <f>_xlfn.XLOOKUP(TournamentData[[#This Row],[Team Number]],OfficialTeamList[Team Number],OfficialTeamList[Team Name],"",0,)</f>
        <v/>
      </c>
      <c r="C201" s="63">
        <f>IF(TournamentData[[#This Row],[Team Number]]="","",_xlfn.XLOOKUP(TournamentData[[#This Row],[Team Number]],RobotGameScores[Team Number],RobotGameScores[Robot Game 1 Score],0,0,))</f>
        <v>0</v>
      </c>
      <c r="D201" s="63">
        <f>IF(TournamentData[[#This Row],[Team Number]]="","",_xlfn.XLOOKUP(TournamentData[[#This Row],[Team Number]],RobotGameScores[Team Number],RobotGameScores[Robot Game 2 Score],0,0,))</f>
        <v>0</v>
      </c>
      <c r="E201" s="63">
        <f>IF(TournamentData[[#This Row],[Team Number]]="","",_xlfn.XLOOKUP(TournamentData[[#This Row],[Team Number]],RobotGameScores[Team Number],RobotGameScores[Robot Game 3 Score],0,0,))</f>
        <v>0</v>
      </c>
      <c r="F201" s="63">
        <f>IF(TournamentData[[#This Row],[Team Number]]="","",_xlfn.XLOOKUP(TournamentData[[#This Row],[Team Number]],RobotGameScores[Team Number],RobotGameScores[Robot Game 4 Score],0,0,))</f>
        <v>0</v>
      </c>
      <c r="G201" s="63">
        <f>IF(TournamentData[[#This Row],[Team Number]]="","",_xlfn.XLOOKUP(TournamentData[[#This Row],[Team Number]],RobotGameScores[Team Number],RobotGameScores[Robot Game 5 Score],0,0,))</f>
        <v>0</v>
      </c>
      <c r="H201"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201" s="63">
        <f>IF(TournamentData[[#This Row],[Team Number]]="","",_xlfn.RANK.EQ(TournamentData[[#This Row],[Max Robot Game Score]],TournamentData[Max Robot Game Score]))</f>
        <v>1</v>
      </c>
      <c r="J201" s="63">
        <f>IF(TournamentData[[#This Row],[Team Number]]="","",_xlfn.XLOOKUP(TournamentData[[#This Row],[Team Number]],CoreValuesResults[Team Number],CoreValuesResults[Core Values Rank],NumberOfTeams+1,0,))</f>
        <v>1</v>
      </c>
      <c r="K201" s="63">
        <f>IF(TournamentData[[#This Row],[Team Number]]="","",_xlfn.XLOOKUP(TournamentData[[#This Row],[Team Number]],InnovationProjectResults[Team Number],InnovationProjectResults[Innovation Project Rank],NumberOfTeams+1,0,))</f>
        <v>1</v>
      </c>
      <c r="L201" s="63">
        <f>IF(TournamentData[[#This Row],[Team Number]]="","",_xlfn.XLOOKUP(TournamentData[[#This Row],[Team Number]],RobotDesignResults[Team Number],RobotDesignResults[Robot Design Rank],NumberOfTeams+1,0,))</f>
        <v>1</v>
      </c>
      <c r="M201"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201" s="64">
        <f>IF(TournamentData[[#This Row],[Team Number]]="","",IF(M201,RANK(M201,M$3:M$202,1)-COUNTIF(M$3:M$202,0),NumberOfTeams+1))</f>
        <v>1</v>
      </c>
      <c r="O201" s="70">
        <f>_xlfn.XLOOKUP(TournamentData[[#This Row],[Team Number]],CoreValuesResults[Team Number],CoreValuesResults[Breakthrough Selection],0,0,)</f>
        <v>0</v>
      </c>
      <c r="P201" s="70">
        <f>_xlfn.XLOOKUP(TournamentData[[#This Row],[Team Number]],CoreValuesResults[Team Number],CoreValuesResults[Rising All-Star Selection],0,0,)</f>
        <v>0</v>
      </c>
      <c r="Q201" s="70">
        <f>_xlfn.XLOOKUP(TournamentData[[#This Row],[Team Number]],CoreValuesResults[Team Number],CoreValuesResults[Motivate Selection],0,0,)</f>
        <v>0</v>
      </c>
      <c r="R201" s="66"/>
      <c r="S201" s="66"/>
      <c r="T201" s="67"/>
      <c r="U201" s="63">
        <f>_xlfn.XLOOKUP(TournamentData[[#This Row],[Team Number]],CoreValuesResults[Team Number],CoreValuesResults[Core Values Score],0,0,)</f>
        <v>0</v>
      </c>
      <c r="V201" s="63">
        <f>_xlfn.XLOOKUP(TournamentData[[#This Row],[Team Number]],InnovationProjectResults[Team Number],InnovationProjectResults[Innovation Project Score],0,0,)</f>
        <v>0</v>
      </c>
      <c r="W201" s="63">
        <f>_xlfn.XLOOKUP(TournamentData[[#This Row],[Team Number]],RobotDesignResults[Team Number],RobotDesignResults[Robot Design Score],0,0,)</f>
        <v>0</v>
      </c>
      <c r="X201"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201" s="71">
        <f t="shared" si="6"/>
        <v>0</v>
      </c>
      <c r="Z201" s="66"/>
    </row>
    <row r="202" spans="1:26" ht="21" customHeight="1" x14ac:dyDescent="0.45">
      <c r="A202">
        <f>_xlfn.XLOOKUP(200,OfficialTeamList[Row],OfficialTeamList[Team Number],"ERROR",0)</f>
        <v>0</v>
      </c>
      <c r="B202" s="62" t="str">
        <f>_xlfn.XLOOKUP(TournamentData[[#This Row],[Team Number]],OfficialTeamList[Team Number],OfficialTeamList[Team Name],"",0,)</f>
        <v/>
      </c>
      <c r="C202" s="63">
        <f>IF(TournamentData[[#This Row],[Team Number]]="","",_xlfn.XLOOKUP(TournamentData[[#This Row],[Team Number]],RobotGameScores[Team Number],RobotGameScores[Robot Game 1 Score],0,0,))</f>
        <v>0</v>
      </c>
      <c r="D202" s="63">
        <f>IF(TournamentData[[#This Row],[Team Number]]="","",_xlfn.XLOOKUP(TournamentData[[#This Row],[Team Number]],RobotGameScores[Team Number],RobotGameScores[Robot Game 2 Score],0,0,))</f>
        <v>0</v>
      </c>
      <c r="E202" s="63">
        <f>IF(TournamentData[[#This Row],[Team Number]]="","",_xlfn.XLOOKUP(TournamentData[[#This Row],[Team Number]],RobotGameScores[Team Number],RobotGameScores[Robot Game 3 Score],0,0,))</f>
        <v>0</v>
      </c>
      <c r="F202" s="63">
        <f>IF(TournamentData[[#This Row],[Team Number]]="","",_xlfn.XLOOKUP(TournamentData[[#This Row],[Team Number]],RobotGameScores[Team Number],RobotGameScores[Robot Game 4 Score],0,0,))</f>
        <v>0</v>
      </c>
      <c r="G202" s="63">
        <f>IF(TournamentData[[#This Row],[Team Number]]="","",_xlfn.XLOOKUP(TournamentData[[#This Row],[Team Number]],RobotGameScores[Team Number],RobotGameScores[Robot Game 5 Score],0,0,))</f>
        <v>0</v>
      </c>
      <c r="H202" s="63">
        <f>IF(TournamentData[[#This Row],[Team Number]]="","",IF(ISNA(LARGE(TournamentData[[#This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5]],5)),0,LARGE(TournamentData[[#This Row],[Robot Game Score 1]:[Robot Game Score 5]],1)+0.0001*LARGE(TournamentData[[#This Row],[Robot Game Score 1]:[Robot Game Score 5]],2)+0.0000001*LARGE(TournamentData[[#This Row],[Robot Game Score 1]:[Robot Game Score 5]],3)+0.00000000001*LARGE(TournamentData[[#This Row],[Robot Game Score 1]:[Robot Game Score 5]],4)+0.00000000000001*LARGE(TournamentData[[#This Row],[Robot Game Score 1]:[Robot Game Score 5]],5)))</f>
        <v>0</v>
      </c>
      <c r="I202" s="63">
        <f>IF(TournamentData[[#This Row],[Team Number]]="","",_xlfn.RANK.EQ(TournamentData[[#This Row],[Max Robot Game Score]],TournamentData[Max Robot Game Score]))</f>
        <v>1</v>
      </c>
      <c r="J202" s="63">
        <f>IF(TournamentData[[#This Row],[Team Number]]="","",_xlfn.XLOOKUP(TournamentData[[#This Row],[Team Number]],CoreValuesResults[Team Number],CoreValuesResults[Core Values Rank],NumberOfTeams+1,0,))</f>
        <v>1</v>
      </c>
      <c r="K202" s="63">
        <f>IF(TournamentData[[#This Row],[Team Number]]="","",_xlfn.XLOOKUP(TournamentData[[#This Row],[Team Number]],InnovationProjectResults[Team Number],InnovationProjectResults[Innovation Project Rank],NumberOfTeams+1,0,))</f>
        <v>1</v>
      </c>
      <c r="L202" s="63">
        <f>IF(TournamentData[[#This Row],[Team Number]]="","",_xlfn.XLOOKUP(TournamentData[[#This Row],[Team Number]],RobotDesignResults[Team Number],RobotDesignResults[Robot Design Rank],NumberOfTeams+1,0,))</f>
        <v>1</v>
      </c>
      <c r="M202" s="63">
        <f xml:space="preserve"> IF(TournamentData[[#This Row],[Team Number]]="","",IF(TournamentData[[#This Row],[Core Values Rank]]="",NumberOfTeams+1,TournamentData[[#This Row],[Core Values Rank]]) + IF(TournamentData[[#This Row],[Innovation Project Rank]]="",NumberOfTeams+1,TournamentData[[#This Row],[Innovation Project Rank]]) + IF(TournamentData[[#This Row],[Robot Design Rank]]="",NumberOfTeams+1,TournamentData[[#This Row],[Robot Design Rank]]) + TournamentData[[#This Row],[Robot Game Rank]])</f>
        <v>4</v>
      </c>
      <c r="N202" s="64">
        <f>IF(TournamentData[[#This Row],[Team Number]]="","",IF(M202,RANK(M202,M$3:M$202,1)-COUNTIF(M$3:M$202,0),NumberOfTeams+1))</f>
        <v>1</v>
      </c>
      <c r="O202" s="70">
        <f>_xlfn.XLOOKUP(TournamentData[[#This Row],[Team Number]],CoreValuesResults[Team Number],CoreValuesResults[Breakthrough Selection],0,0,)</f>
        <v>0</v>
      </c>
      <c r="P202" s="70">
        <f>_xlfn.XLOOKUP(TournamentData[[#This Row],[Team Number]],CoreValuesResults[Team Number],CoreValuesResults[Rising All-Star Selection],0,0,)</f>
        <v>0</v>
      </c>
      <c r="Q202" s="70">
        <f>_xlfn.XLOOKUP(TournamentData[[#This Row],[Team Number]],CoreValuesResults[Team Number],CoreValuesResults[Motivate Selection],0,0,)</f>
        <v>0</v>
      </c>
      <c r="R202" s="66"/>
      <c r="S202" s="66"/>
      <c r="T202" s="67"/>
      <c r="U202" s="63">
        <f>_xlfn.XLOOKUP(TournamentData[[#This Row],[Team Number]],CoreValuesResults[Team Number],CoreValuesResults[Core Values Score],0,0,)</f>
        <v>0</v>
      </c>
      <c r="V202" s="63">
        <f>_xlfn.XLOOKUP(TournamentData[[#This Row],[Team Number]],InnovationProjectResults[Team Number],InnovationProjectResults[Innovation Project Score],0,0,)</f>
        <v>0</v>
      </c>
      <c r="W202" s="63">
        <f>_xlfn.XLOOKUP(TournamentData[[#This Row],[Team Number]],RobotDesignResults[Team Number],RobotDesignResults[Robot Design Score],0,0,)</f>
        <v>0</v>
      </c>
      <c r="X202" s="68">
        <f>IF(ISERR(GEOMEAN(TournamentData[[#This Row],[Max Robot Game Score]],TournamentData[[#This Row],[Core Values Score]],TournamentData[[#This Row],[Innovattion Project Score]],TournamentData[[#This Row],[Robot Design Score]])),0,GEOMEAN(TournamentData[[#This Row],[Max Robot Game Score]],TournamentData[[#This Row],[Core Values Score]],TournamentData[[#This Row],[Innovattion Project Score]],TournamentData[[#This Row],[Robot Design Score]]))</f>
        <v>0</v>
      </c>
      <c r="Y202" s="71">
        <f t="shared" si="6"/>
        <v>0</v>
      </c>
      <c r="Z202" s="66"/>
    </row>
  </sheetData>
  <mergeCells count="6">
    <mergeCell ref="U1:Y1"/>
    <mergeCell ref="A1:B1"/>
    <mergeCell ref="C1:I1"/>
    <mergeCell ref="J1:L1"/>
    <mergeCell ref="M1:Q1"/>
    <mergeCell ref="R1:T1"/>
  </mergeCells>
  <conditionalFormatting sqref="A3:A202">
    <cfRule type="expression" dxfId="8" priority="3">
      <formula>IF($N3 &lt;= NumberofTeamsAdvancing,TRUE,FALSE)</formula>
    </cfRule>
  </conditionalFormatting>
  <conditionalFormatting sqref="B3:Z202">
    <cfRule type="expression" dxfId="7" priority="8">
      <formula>IF($R3&lt;&gt;"",TRUE,FALSE)</formula>
    </cfRule>
  </conditionalFormatting>
  <conditionalFormatting sqref="I1:I202">
    <cfRule type="cellIs" dxfId="6" priority="4" operator="equal">
      <formula>3</formula>
    </cfRule>
    <cfRule type="cellIs" dxfId="5" priority="5" operator="equal">
      <formula>2</formula>
    </cfRule>
    <cfRule type="cellIs" dxfId="4" priority="6" operator="equal">
      <formula>1</formula>
    </cfRule>
  </conditionalFormatting>
  <conditionalFormatting sqref="O3:Q202">
    <cfRule type="cellIs" dxfId="3" priority="7" operator="greaterThan">
      <formula>0</formula>
    </cfRule>
  </conditionalFormatting>
  <conditionalFormatting sqref="T2">
    <cfRule type="expression" dxfId="2" priority="1">
      <formula>IF(COUNTIF($T:$T,"=Yes")&lt;&gt;NumberofTeamsAdvancing,1,0)</formula>
    </cfRule>
  </conditionalFormatting>
  <conditionalFormatting sqref="T3:T101">
    <cfRule type="cellIs" dxfId="1" priority="2" operator="equal">
      <formula>"Yes"</formula>
    </cfRule>
  </conditionalFormatting>
  <dataValidations count="3">
    <dataValidation type="list" allowBlank="1" showInputMessage="1" showErrorMessage="1" sqref="S3:S202" xr:uid="{69A7B139-6867-4C9A-9AF5-56A93EEE9544}">
      <formula1>"1st,2nd,3rd,4th,5th"</formula1>
    </dataValidation>
    <dataValidation type="list" allowBlank="1" showInputMessage="1" showErrorMessage="1" sqref="T3:T202" xr:uid="{BDDF0FF5-E35E-40F4-AD10-6903F6A70057}">
      <formula1>"Yes, No"</formula1>
    </dataValidation>
    <dataValidation type="list" allowBlank="1" showInputMessage="1" showErrorMessage="1" sqref="R3:R202" xr:uid="{A3DCCFFF-2566-4D1C-9A52-57CC47F1793B}">
      <formula1>AwardListLookup</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C677B-0431-4D7F-A9AE-EAEB308B43C2}">
  <sheetPr>
    <tabColor rgb="FF016DB6"/>
  </sheetPr>
  <dimension ref="A1:N201"/>
  <sheetViews>
    <sheetView showGridLines="0" workbookViewId="0"/>
  </sheetViews>
  <sheetFormatPr defaultRowHeight="14.25" x14ac:dyDescent="0.45"/>
  <cols>
    <col min="1" max="1" width="15.46484375" customWidth="1"/>
    <col min="2" max="2" width="32.46484375" customWidth="1"/>
    <col min="3" max="12" width="7.46484375" customWidth="1"/>
    <col min="13" max="13" width="10.46484375" customWidth="1"/>
    <col min="14" max="14" width="15.46484375" customWidth="1"/>
  </cols>
  <sheetData>
    <row r="1" spans="1:14" ht="170" customHeight="1" x14ac:dyDescent="0.45">
      <c r="A1" s="37" t="s">
        <v>23</v>
      </c>
      <c r="B1" s="38" t="s">
        <v>24</v>
      </c>
      <c r="C1" s="39" t="s">
        <v>65</v>
      </c>
      <c r="D1" s="39" t="s">
        <v>66</v>
      </c>
      <c r="E1" s="39" t="s">
        <v>67</v>
      </c>
      <c r="F1" s="39" t="s">
        <v>68</v>
      </c>
      <c r="G1" s="39" t="s">
        <v>69</v>
      </c>
      <c r="H1" s="39" t="s">
        <v>70</v>
      </c>
      <c r="I1" s="39" t="s">
        <v>71</v>
      </c>
      <c r="J1" s="39" t="s">
        <v>72</v>
      </c>
      <c r="K1" s="39" t="s">
        <v>73</v>
      </c>
      <c r="L1" s="39" t="s">
        <v>74</v>
      </c>
      <c r="M1" s="40" t="s">
        <v>75</v>
      </c>
      <c r="N1" s="41" t="s">
        <v>53</v>
      </c>
    </row>
    <row r="2" spans="1:14" ht="30" customHeight="1" x14ac:dyDescent="0.45">
      <c r="A2" s="12">
        <f>(_xlfn.XLOOKUP(1,OfficialTeamList[Row],OfficialTeamList[Team Number],"ERROR",0))</f>
        <v>0</v>
      </c>
      <c r="B2" s="42" t="str">
        <f>_xlfn.XLOOKUP(InnovationProjectResults[[#This Row],[Team Number]],OfficialTeamList[Team Number],OfficialTeamList[Team Name],"",0,)</f>
        <v/>
      </c>
      <c r="C2" s="17"/>
      <c r="D2" s="17"/>
      <c r="E2" s="17"/>
      <c r="F2" s="17"/>
      <c r="G2" s="17"/>
      <c r="H2" s="17"/>
      <c r="I2" s="17"/>
      <c r="J2" s="17"/>
      <c r="K2" s="17"/>
      <c r="L2" s="17"/>
      <c r="M2" s="12">
        <f>SUM(InnovationProjectResults[[#This Row],[Identify - Define]:[Communicate - Fun (CV)]])</f>
        <v>0</v>
      </c>
      <c r="N2" s="43">
        <f>IF(InnovationProjectResults[[#This Row],[Team Number]]&gt;0,MIN(_xlfn.RANK.EQ(InnovationProjectResults[[#This Row],[Innovation Project Score]],InnovationProjectResults[Innovation Project Score],0),NumberOfTeams),NumberOfTeams+1)</f>
        <v>1</v>
      </c>
    </row>
    <row r="3" spans="1:14" ht="30" customHeight="1" x14ac:dyDescent="0.45">
      <c r="A3" s="12">
        <f>(_xlfn.XLOOKUP(2,OfficialTeamList[Row],OfficialTeamList[Team Number],"ERROR",0))</f>
        <v>0</v>
      </c>
      <c r="B3" s="42" t="str">
        <f>_xlfn.XLOOKUP(InnovationProjectResults[[#This Row],[Team Number]],OfficialTeamList[Team Number],OfficialTeamList[Team Name],"",0,)</f>
        <v/>
      </c>
      <c r="C3" s="17"/>
      <c r="D3" s="17"/>
      <c r="E3" s="17"/>
      <c r="F3" s="17"/>
      <c r="G3" s="17"/>
      <c r="H3" s="17"/>
      <c r="I3" s="17"/>
      <c r="J3" s="17"/>
      <c r="K3" s="17"/>
      <c r="L3" s="17"/>
      <c r="M3" s="12">
        <f>SUM(InnovationProjectResults[[#This Row],[Identify - Define]:[Communicate - Fun (CV)]])</f>
        <v>0</v>
      </c>
      <c r="N3" s="43">
        <f>IF(InnovationProjectResults[[#This Row],[Team Number]]&gt;0,MIN(_xlfn.RANK.EQ(InnovationProjectResults[[#This Row],[Innovation Project Score]],InnovationProjectResults[Innovation Project Score],0),NumberOfTeams),NumberOfTeams+1)</f>
        <v>1</v>
      </c>
    </row>
    <row r="4" spans="1:14" ht="30" customHeight="1" x14ac:dyDescent="0.45">
      <c r="A4" s="12">
        <f>(_xlfn.XLOOKUP(3,OfficialTeamList[Row],OfficialTeamList[Team Number],"ERROR",0))</f>
        <v>0</v>
      </c>
      <c r="B4" s="42" t="str">
        <f>_xlfn.XLOOKUP(InnovationProjectResults[[#This Row],[Team Number]],OfficialTeamList[Team Number],OfficialTeamList[Team Name],"",0,)</f>
        <v/>
      </c>
      <c r="C4" s="17"/>
      <c r="D4" s="17"/>
      <c r="E4" s="17"/>
      <c r="F4" s="17"/>
      <c r="G4" s="17"/>
      <c r="H4" s="17"/>
      <c r="I4" s="17"/>
      <c r="J4" s="17"/>
      <c r="K4" s="17"/>
      <c r="L4" s="17"/>
      <c r="M4" s="12">
        <f>SUM(InnovationProjectResults[[#This Row],[Identify - Define]:[Communicate - Fun (CV)]])</f>
        <v>0</v>
      </c>
      <c r="N4" s="43">
        <f>IF(InnovationProjectResults[[#This Row],[Team Number]]&gt;0,MIN(_xlfn.RANK.EQ(InnovationProjectResults[[#This Row],[Innovation Project Score]],InnovationProjectResults[Innovation Project Score],0),NumberOfTeams),NumberOfTeams+1)</f>
        <v>1</v>
      </c>
    </row>
    <row r="5" spans="1:14" ht="30" customHeight="1" x14ac:dyDescent="0.45">
      <c r="A5" s="12">
        <f>_xlfn.XLOOKUP(4,OfficialTeamList[Row],OfficialTeamList[Team Number],"ERROR",0)</f>
        <v>0</v>
      </c>
      <c r="B5" s="42" t="str">
        <f>_xlfn.XLOOKUP(InnovationProjectResults[[#This Row],[Team Number]],OfficialTeamList[Team Number],OfficialTeamList[Team Name],"",0,)</f>
        <v/>
      </c>
      <c r="C5" s="17"/>
      <c r="D5" s="17"/>
      <c r="E5" s="17"/>
      <c r="F5" s="17"/>
      <c r="G5" s="17"/>
      <c r="H5" s="17"/>
      <c r="I5" s="17"/>
      <c r="J5" s="17"/>
      <c r="K5" s="17"/>
      <c r="L5" s="17"/>
      <c r="M5" s="12">
        <f>SUM(InnovationProjectResults[[#This Row],[Identify - Define]:[Communicate - Fun (CV)]])</f>
        <v>0</v>
      </c>
      <c r="N5" s="43">
        <f>IF(InnovationProjectResults[[#This Row],[Team Number]]&gt;0,MIN(_xlfn.RANK.EQ(InnovationProjectResults[[#This Row],[Innovation Project Score]],InnovationProjectResults[Innovation Project Score],0),NumberOfTeams),NumberOfTeams+1)</f>
        <v>1</v>
      </c>
    </row>
    <row r="6" spans="1:14" ht="30" customHeight="1" x14ac:dyDescent="0.45">
      <c r="A6" s="12">
        <f>_xlfn.XLOOKUP(5,OfficialTeamList[Row],OfficialTeamList[Team Number],"ERROR",0)</f>
        <v>0</v>
      </c>
      <c r="B6" s="42" t="str">
        <f>_xlfn.XLOOKUP(InnovationProjectResults[[#This Row],[Team Number]],OfficialTeamList[Team Number],OfficialTeamList[Team Name],"",0,)</f>
        <v/>
      </c>
      <c r="C6" s="17"/>
      <c r="D6" s="17"/>
      <c r="E6" s="17"/>
      <c r="F6" s="17"/>
      <c r="G6" s="17"/>
      <c r="H6" s="17"/>
      <c r="I6" s="17"/>
      <c r="J6" s="17"/>
      <c r="K6" s="17"/>
      <c r="L6" s="17"/>
      <c r="M6" s="12">
        <f>SUM(InnovationProjectResults[[#This Row],[Identify - Define]:[Communicate - Fun (CV)]])</f>
        <v>0</v>
      </c>
      <c r="N6" s="43">
        <f>IF(InnovationProjectResults[[#This Row],[Team Number]]&gt;0,MIN(_xlfn.RANK.EQ(InnovationProjectResults[[#This Row],[Innovation Project Score]],InnovationProjectResults[Innovation Project Score],0),NumberOfTeams),NumberOfTeams+1)</f>
        <v>1</v>
      </c>
    </row>
    <row r="7" spans="1:14" ht="30" customHeight="1" x14ac:dyDescent="0.45">
      <c r="A7" s="12">
        <f>_xlfn.XLOOKUP(6,OfficialTeamList[Row],OfficialTeamList[Team Number],"ERROR",0)</f>
        <v>0</v>
      </c>
      <c r="B7" s="42" t="str">
        <f>_xlfn.XLOOKUP(InnovationProjectResults[[#This Row],[Team Number]],OfficialTeamList[Team Number],OfficialTeamList[Team Name],"",0,)</f>
        <v/>
      </c>
      <c r="C7" s="17"/>
      <c r="D7" s="17"/>
      <c r="E7" s="17"/>
      <c r="F7" s="17"/>
      <c r="G7" s="17"/>
      <c r="H7" s="17"/>
      <c r="I7" s="17"/>
      <c r="J7" s="17"/>
      <c r="K7" s="17"/>
      <c r="L7" s="17"/>
      <c r="M7" s="12">
        <f>SUM(InnovationProjectResults[[#This Row],[Identify - Define]:[Communicate - Fun (CV)]])</f>
        <v>0</v>
      </c>
      <c r="N7" s="43">
        <f>IF(InnovationProjectResults[[#This Row],[Team Number]]&gt;0,MIN(_xlfn.RANK.EQ(InnovationProjectResults[[#This Row],[Innovation Project Score]],InnovationProjectResults[Innovation Project Score],0),NumberOfTeams),NumberOfTeams+1)</f>
        <v>1</v>
      </c>
    </row>
    <row r="8" spans="1:14" ht="30" customHeight="1" x14ac:dyDescent="0.45">
      <c r="A8" s="12">
        <f>_xlfn.XLOOKUP(7,OfficialTeamList[Row],OfficialTeamList[Team Number],"ERROR",0)</f>
        <v>0</v>
      </c>
      <c r="B8" s="42" t="str">
        <f>_xlfn.XLOOKUP(InnovationProjectResults[[#This Row],[Team Number]],OfficialTeamList[Team Number],OfficialTeamList[Team Name],"",0,)</f>
        <v/>
      </c>
      <c r="C8" s="17"/>
      <c r="D8" s="17"/>
      <c r="E8" s="17"/>
      <c r="F8" s="17"/>
      <c r="G8" s="17"/>
      <c r="H8" s="17"/>
      <c r="I8" s="17"/>
      <c r="J8" s="17"/>
      <c r="K8" s="17"/>
      <c r="L8" s="17"/>
      <c r="M8" s="12">
        <f>SUM(InnovationProjectResults[[#This Row],[Identify - Define]:[Communicate - Fun (CV)]])</f>
        <v>0</v>
      </c>
      <c r="N8" s="43">
        <f>IF(InnovationProjectResults[[#This Row],[Team Number]]&gt;0,MIN(_xlfn.RANK.EQ(InnovationProjectResults[[#This Row],[Innovation Project Score]],InnovationProjectResults[Innovation Project Score],0),NumberOfTeams),NumberOfTeams+1)</f>
        <v>1</v>
      </c>
    </row>
    <row r="9" spans="1:14" ht="30" customHeight="1" x14ac:dyDescent="0.45">
      <c r="A9" s="12">
        <f>_xlfn.XLOOKUP(8,OfficialTeamList[Row],OfficialTeamList[Team Number],"ERROR",0)</f>
        <v>0</v>
      </c>
      <c r="B9" s="42" t="str">
        <f>_xlfn.XLOOKUP(InnovationProjectResults[[#This Row],[Team Number]],OfficialTeamList[Team Number],OfficialTeamList[Team Name],"",0,)</f>
        <v/>
      </c>
      <c r="C9" s="17"/>
      <c r="D9" s="17"/>
      <c r="E9" s="17"/>
      <c r="F9" s="17"/>
      <c r="G9" s="17"/>
      <c r="H9" s="17"/>
      <c r="I9" s="17"/>
      <c r="J9" s="17"/>
      <c r="K9" s="17"/>
      <c r="L9" s="17"/>
      <c r="M9" s="12">
        <f>SUM(InnovationProjectResults[[#This Row],[Identify - Define]:[Communicate - Fun (CV)]])</f>
        <v>0</v>
      </c>
      <c r="N9" s="43">
        <f>IF(InnovationProjectResults[[#This Row],[Team Number]]&gt;0,MIN(_xlfn.RANK.EQ(InnovationProjectResults[[#This Row],[Innovation Project Score]],InnovationProjectResults[Innovation Project Score],0),NumberOfTeams),NumberOfTeams+1)</f>
        <v>1</v>
      </c>
    </row>
    <row r="10" spans="1:14" ht="30" customHeight="1" x14ac:dyDescent="0.45">
      <c r="A10" s="12">
        <f>_xlfn.XLOOKUP(9,OfficialTeamList[Row],OfficialTeamList[Team Number],"ERROR",0)</f>
        <v>0</v>
      </c>
      <c r="B10" s="42" t="str">
        <f>_xlfn.XLOOKUP(InnovationProjectResults[[#This Row],[Team Number]],OfficialTeamList[Team Number],OfficialTeamList[Team Name],"",0,)</f>
        <v/>
      </c>
      <c r="C10" s="17"/>
      <c r="D10" s="17"/>
      <c r="E10" s="17"/>
      <c r="F10" s="17"/>
      <c r="G10" s="17"/>
      <c r="H10" s="17"/>
      <c r="I10" s="17"/>
      <c r="J10" s="17"/>
      <c r="K10" s="17"/>
      <c r="L10" s="17"/>
      <c r="M10" s="12">
        <f>SUM(InnovationProjectResults[[#This Row],[Identify - Define]:[Communicate - Fun (CV)]])</f>
        <v>0</v>
      </c>
      <c r="N10" s="43">
        <f>IF(InnovationProjectResults[[#This Row],[Team Number]]&gt;0,MIN(_xlfn.RANK.EQ(InnovationProjectResults[[#This Row],[Innovation Project Score]],InnovationProjectResults[Innovation Project Score],0),NumberOfTeams),NumberOfTeams+1)</f>
        <v>1</v>
      </c>
    </row>
    <row r="11" spans="1:14" ht="30" customHeight="1" x14ac:dyDescent="0.45">
      <c r="A11" s="12">
        <f>_xlfn.XLOOKUP(10,OfficialTeamList[Row],OfficialTeamList[Team Number],"ERROR",0)</f>
        <v>0</v>
      </c>
      <c r="B11" s="42" t="str">
        <f>_xlfn.XLOOKUP(InnovationProjectResults[[#This Row],[Team Number]],OfficialTeamList[Team Number],OfficialTeamList[Team Name],"",0,)</f>
        <v/>
      </c>
      <c r="C11" s="17"/>
      <c r="D11" s="17"/>
      <c r="E11" s="17"/>
      <c r="F11" s="17"/>
      <c r="G11" s="17"/>
      <c r="H11" s="17"/>
      <c r="I11" s="17"/>
      <c r="J11" s="17"/>
      <c r="K11" s="17"/>
      <c r="L11" s="17"/>
      <c r="M11" s="12">
        <f>SUM(InnovationProjectResults[[#This Row],[Identify - Define]:[Communicate - Fun (CV)]])</f>
        <v>0</v>
      </c>
      <c r="N11" s="43">
        <f>IF(InnovationProjectResults[[#This Row],[Team Number]]&gt;0,MIN(_xlfn.RANK.EQ(InnovationProjectResults[[#This Row],[Innovation Project Score]],InnovationProjectResults[Innovation Project Score],0),NumberOfTeams),NumberOfTeams+1)</f>
        <v>1</v>
      </c>
    </row>
    <row r="12" spans="1:14" ht="30" customHeight="1" x14ac:dyDescent="0.45">
      <c r="A12" s="12">
        <f>_xlfn.XLOOKUP(11,OfficialTeamList[Row],OfficialTeamList[Team Number],"ERROR",0)</f>
        <v>0</v>
      </c>
      <c r="B12" s="42" t="str">
        <f>_xlfn.XLOOKUP(InnovationProjectResults[[#This Row],[Team Number]],OfficialTeamList[Team Number],OfficialTeamList[Team Name],"",0,)</f>
        <v/>
      </c>
      <c r="C12" s="17"/>
      <c r="D12" s="17"/>
      <c r="E12" s="17"/>
      <c r="F12" s="17"/>
      <c r="G12" s="17"/>
      <c r="H12" s="17"/>
      <c r="I12" s="17"/>
      <c r="J12" s="17"/>
      <c r="K12" s="17"/>
      <c r="L12" s="17"/>
      <c r="M12" s="12">
        <f>SUM(InnovationProjectResults[[#This Row],[Identify - Define]:[Communicate - Fun (CV)]])</f>
        <v>0</v>
      </c>
      <c r="N12" s="43">
        <f>IF(InnovationProjectResults[[#This Row],[Team Number]]&gt;0,MIN(_xlfn.RANK.EQ(InnovationProjectResults[[#This Row],[Innovation Project Score]],InnovationProjectResults[Innovation Project Score],0),NumberOfTeams),NumberOfTeams+1)</f>
        <v>1</v>
      </c>
    </row>
    <row r="13" spans="1:14" ht="30" customHeight="1" x14ac:dyDescent="0.45">
      <c r="A13" s="12">
        <f>_xlfn.XLOOKUP(12,OfficialTeamList[Row],OfficialTeamList[Team Number],"ERROR",0)</f>
        <v>0</v>
      </c>
      <c r="B13" s="42" t="str">
        <f>_xlfn.XLOOKUP(InnovationProjectResults[[#This Row],[Team Number]],OfficialTeamList[Team Number],OfficialTeamList[Team Name],"",0,)</f>
        <v/>
      </c>
      <c r="C13" s="17"/>
      <c r="D13" s="17"/>
      <c r="E13" s="17"/>
      <c r="F13" s="17"/>
      <c r="G13" s="17"/>
      <c r="H13" s="17"/>
      <c r="I13" s="17"/>
      <c r="J13" s="17"/>
      <c r="K13" s="17"/>
      <c r="L13" s="17"/>
      <c r="M13" s="12">
        <f>SUM(InnovationProjectResults[[#This Row],[Identify - Define]:[Communicate - Fun (CV)]])</f>
        <v>0</v>
      </c>
      <c r="N13" s="43">
        <f>IF(InnovationProjectResults[[#This Row],[Team Number]]&gt;0,MIN(_xlfn.RANK.EQ(InnovationProjectResults[[#This Row],[Innovation Project Score]],InnovationProjectResults[Innovation Project Score],0),NumberOfTeams),NumberOfTeams+1)</f>
        <v>1</v>
      </c>
    </row>
    <row r="14" spans="1:14" ht="30" customHeight="1" x14ac:dyDescent="0.45">
      <c r="A14" s="12">
        <f>_xlfn.XLOOKUP(13,OfficialTeamList[Row],OfficialTeamList[Team Number],"ERROR",0)</f>
        <v>0</v>
      </c>
      <c r="B14" s="42" t="str">
        <f>_xlfn.XLOOKUP(InnovationProjectResults[[#This Row],[Team Number]],OfficialTeamList[Team Number],OfficialTeamList[Team Name],"",0,)</f>
        <v/>
      </c>
      <c r="C14" s="17"/>
      <c r="D14" s="17"/>
      <c r="E14" s="17"/>
      <c r="F14" s="17"/>
      <c r="G14" s="17"/>
      <c r="H14" s="17"/>
      <c r="I14" s="17"/>
      <c r="J14" s="17"/>
      <c r="K14" s="17"/>
      <c r="L14" s="17"/>
      <c r="M14" s="12">
        <f>SUM(InnovationProjectResults[[#This Row],[Identify - Define]:[Communicate - Fun (CV)]])</f>
        <v>0</v>
      </c>
      <c r="N14" s="43">
        <f>IF(InnovationProjectResults[[#This Row],[Team Number]]&gt;0,MIN(_xlfn.RANK.EQ(InnovationProjectResults[[#This Row],[Innovation Project Score]],InnovationProjectResults[Innovation Project Score],0),NumberOfTeams),NumberOfTeams+1)</f>
        <v>1</v>
      </c>
    </row>
    <row r="15" spans="1:14" ht="30" customHeight="1" x14ac:dyDescent="0.45">
      <c r="A15" s="12">
        <f>_xlfn.XLOOKUP(14,OfficialTeamList[Row],OfficialTeamList[Team Number],"ERROR",0)</f>
        <v>0</v>
      </c>
      <c r="B15" s="42" t="str">
        <f>_xlfn.XLOOKUP(InnovationProjectResults[[#This Row],[Team Number]],OfficialTeamList[Team Number],OfficialTeamList[Team Name],"",0,)</f>
        <v/>
      </c>
      <c r="C15" s="17"/>
      <c r="D15" s="17"/>
      <c r="E15" s="17"/>
      <c r="F15" s="17"/>
      <c r="G15" s="17"/>
      <c r="H15" s="17"/>
      <c r="I15" s="17"/>
      <c r="J15" s="17"/>
      <c r="K15" s="17"/>
      <c r="L15" s="17"/>
      <c r="M15" s="12">
        <f>SUM(InnovationProjectResults[[#This Row],[Identify - Define]:[Communicate - Fun (CV)]])</f>
        <v>0</v>
      </c>
      <c r="N15" s="43">
        <f>IF(InnovationProjectResults[[#This Row],[Team Number]]&gt;0,MIN(_xlfn.RANK.EQ(InnovationProjectResults[[#This Row],[Innovation Project Score]],InnovationProjectResults[Innovation Project Score],0),NumberOfTeams),NumberOfTeams+1)</f>
        <v>1</v>
      </c>
    </row>
    <row r="16" spans="1:14" ht="30" customHeight="1" x14ac:dyDescent="0.45">
      <c r="A16" s="12">
        <f>_xlfn.XLOOKUP(15,OfficialTeamList[Row],OfficialTeamList[Team Number],"ERROR",0)</f>
        <v>0</v>
      </c>
      <c r="B16" s="42" t="str">
        <f>_xlfn.XLOOKUP(InnovationProjectResults[[#This Row],[Team Number]],OfficialTeamList[Team Number],OfficialTeamList[Team Name],"",0,)</f>
        <v/>
      </c>
      <c r="C16" s="17"/>
      <c r="D16" s="17"/>
      <c r="E16" s="17"/>
      <c r="F16" s="17"/>
      <c r="G16" s="17"/>
      <c r="H16" s="17"/>
      <c r="I16" s="17"/>
      <c r="J16" s="17"/>
      <c r="K16" s="17"/>
      <c r="L16" s="17"/>
      <c r="M16" s="12">
        <f>SUM(InnovationProjectResults[[#This Row],[Identify - Define]:[Communicate - Fun (CV)]])</f>
        <v>0</v>
      </c>
      <c r="N16" s="43">
        <f>IF(InnovationProjectResults[[#This Row],[Team Number]]&gt;0,MIN(_xlfn.RANK.EQ(InnovationProjectResults[[#This Row],[Innovation Project Score]],InnovationProjectResults[Innovation Project Score],0),NumberOfTeams),NumberOfTeams+1)</f>
        <v>1</v>
      </c>
    </row>
    <row r="17" spans="1:14" ht="30" customHeight="1" x14ac:dyDescent="0.45">
      <c r="A17" s="12">
        <f>_xlfn.XLOOKUP(16,OfficialTeamList[Row],OfficialTeamList[Team Number],"ERROR",0)</f>
        <v>0</v>
      </c>
      <c r="B17" s="42" t="str">
        <f>_xlfn.XLOOKUP(InnovationProjectResults[[#This Row],[Team Number]],OfficialTeamList[Team Number],OfficialTeamList[Team Name],"",0,)</f>
        <v/>
      </c>
      <c r="C17" s="17"/>
      <c r="D17" s="17"/>
      <c r="E17" s="17"/>
      <c r="F17" s="17"/>
      <c r="G17" s="17"/>
      <c r="H17" s="17"/>
      <c r="I17" s="17"/>
      <c r="J17" s="17"/>
      <c r="K17" s="17"/>
      <c r="L17" s="17"/>
      <c r="M17" s="12">
        <f>SUM(InnovationProjectResults[[#This Row],[Identify - Define]:[Communicate - Fun (CV)]])</f>
        <v>0</v>
      </c>
      <c r="N17" s="43">
        <f>IF(InnovationProjectResults[[#This Row],[Team Number]]&gt;0,MIN(_xlfn.RANK.EQ(InnovationProjectResults[[#This Row],[Innovation Project Score]],InnovationProjectResults[Innovation Project Score],0),NumberOfTeams),NumberOfTeams+1)</f>
        <v>1</v>
      </c>
    </row>
    <row r="18" spans="1:14" ht="30" customHeight="1" x14ac:dyDescent="0.45">
      <c r="A18" s="12">
        <f>_xlfn.XLOOKUP(17,OfficialTeamList[Row],OfficialTeamList[Team Number],"ERROR",0)</f>
        <v>0</v>
      </c>
      <c r="B18" s="42" t="str">
        <f>_xlfn.XLOOKUP(InnovationProjectResults[[#This Row],[Team Number]],OfficialTeamList[Team Number],OfficialTeamList[Team Name],"",0,)</f>
        <v/>
      </c>
      <c r="C18" s="17"/>
      <c r="D18" s="17"/>
      <c r="E18" s="17"/>
      <c r="F18" s="17"/>
      <c r="G18" s="17"/>
      <c r="H18" s="17"/>
      <c r="I18" s="17"/>
      <c r="J18" s="17"/>
      <c r="K18" s="17"/>
      <c r="L18" s="17"/>
      <c r="M18" s="12">
        <f>SUM(InnovationProjectResults[[#This Row],[Identify - Define]:[Communicate - Fun (CV)]])</f>
        <v>0</v>
      </c>
      <c r="N18" s="43">
        <f>IF(InnovationProjectResults[[#This Row],[Team Number]]&gt;0,MIN(_xlfn.RANK.EQ(InnovationProjectResults[[#This Row],[Innovation Project Score]],InnovationProjectResults[Innovation Project Score],0),NumberOfTeams),NumberOfTeams+1)</f>
        <v>1</v>
      </c>
    </row>
    <row r="19" spans="1:14" ht="30" customHeight="1" x14ac:dyDescent="0.45">
      <c r="A19" s="12">
        <f>_xlfn.XLOOKUP(18,OfficialTeamList[Row],OfficialTeamList[Team Number],"ERROR",0)</f>
        <v>0</v>
      </c>
      <c r="B19" s="42" t="str">
        <f>_xlfn.XLOOKUP(InnovationProjectResults[[#This Row],[Team Number]],OfficialTeamList[Team Number],OfficialTeamList[Team Name],"",0,)</f>
        <v/>
      </c>
      <c r="C19" s="17"/>
      <c r="D19" s="17"/>
      <c r="E19" s="17"/>
      <c r="F19" s="17"/>
      <c r="G19" s="17"/>
      <c r="H19" s="17"/>
      <c r="I19" s="17"/>
      <c r="J19" s="17"/>
      <c r="K19" s="17"/>
      <c r="L19" s="17"/>
      <c r="M19" s="12">
        <f>SUM(InnovationProjectResults[[#This Row],[Identify - Define]:[Communicate - Fun (CV)]])</f>
        <v>0</v>
      </c>
      <c r="N19" s="43">
        <f>IF(InnovationProjectResults[[#This Row],[Team Number]]&gt;0,MIN(_xlfn.RANK.EQ(InnovationProjectResults[[#This Row],[Innovation Project Score]],InnovationProjectResults[Innovation Project Score],0),NumberOfTeams),NumberOfTeams+1)</f>
        <v>1</v>
      </c>
    </row>
    <row r="20" spans="1:14" ht="30" customHeight="1" x14ac:dyDescent="0.45">
      <c r="A20" s="12">
        <f>_xlfn.XLOOKUP(19,OfficialTeamList[Row],OfficialTeamList[Team Number],"ERROR",0)</f>
        <v>0</v>
      </c>
      <c r="B20" s="42" t="str">
        <f>_xlfn.XLOOKUP(InnovationProjectResults[[#This Row],[Team Number]],OfficialTeamList[Team Number],OfficialTeamList[Team Name],"",0,)</f>
        <v/>
      </c>
      <c r="C20" s="17"/>
      <c r="D20" s="17"/>
      <c r="E20" s="17"/>
      <c r="F20" s="17"/>
      <c r="G20" s="17"/>
      <c r="H20" s="17"/>
      <c r="I20" s="17"/>
      <c r="J20" s="17"/>
      <c r="K20" s="17"/>
      <c r="L20" s="17"/>
      <c r="M20" s="12">
        <f>SUM(InnovationProjectResults[[#This Row],[Identify - Define]:[Communicate - Fun (CV)]])</f>
        <v>0</v>
      </c>
      <c r="N20" s="43">
        <f>IF(InnovationProjectResults[[#This Row],[Team Number]]&gt;0,MIN(_xlfn.RANK.EQ(InnovationProjectResults[[#This Row],[Innovation Project Score]],InnovationProjectResults[Innovation Project Score],0),NumberOfTeams),NumberOfTeams+1)</f>
        <v>1</v>
      </c>
    </row>
    <row r="21" spans="1:14" ht="30" customHeight="1" x14ac:dyDescent="0.45">
      <c r="A21" s="12">
        <f>_xlfn.XLOOKUP(20,OfficialTeamList[Row],OfficialTeamList[Team Number],"ERROR",0)</f>
        <v>0</v>
      </c>
      <c r="B21" s="42" t="str">
        <f>_xlfn.XLOOKUP(InnovationProjectResults[[#This Row],[Team Number]],OfficialTeamList[Team Number],OfficialTeamList[Team Name],"",0,)</f>
        <v/>
      </c>
      <c r="C21" s="17"/>
      <c r="D21" s="17"/>
      <c r="E21" s="17"/>
      <c r="F21" s="17"/>
      <c r="G21" s="17"/>
      <c r="H21" s="17"/>
      <c r="I21" s="17"/>
      <c r="J21" s="17"/>
      <c r="K21" s="17"/>
      <c r="L21" s="17"/>
      <c r="M21" s="12">
        <f>SUM(InnovationProjectResults[[#This Row],[Identify - Define]:[Communicate - Fun (CV)]])</f>
        <v>0</v>
      </c>
      <c r="N21" s="43">
        <f>IF(InnovationProjectResults[[#This Row],[Team Number]]&gt;0,MIN(_xlfn.RANK.EQ(InnovationProjectResults[[#This Row],[Innovation Project Score]],InnovationProjectResults[Innovation Project Score],0),NumberOfTeams),NumberOfTeams+1)</f>
        <v>1</v>
      </c>
    </row>
    <row r="22" spans="1:14" ht="30" customHeight="1" x14ac:dyDescent="0.45">
      <c r="A22" s="12">
        <f>_xlfn.XLOOKUP(21,OfficialTeamList[Row],OfficialTeamList[Team Number],"ERROR",0)</f>
        <v>0</v>
      </c>
      <c r="B22" s="42" t="str">
        <f>_xlfn.XLOOKUP(InnovationProjectResults[[#This Row],[Team Number]],OfficialTeamList[Team Number],OfficialTeamList[Team Name],"",0,)</f>
        <v/>
      </c>
      <c r="C22" s="17"/>
      <c r="D22" s="17"/>
      <c r="E22" s="17"/>
      <c r="F22" s="17"/>
      <c r="G22" s="17"/>
      <c r="H22" s="17"/>
      <c r="I22" s="17"/>
      <c r="J22" s="17"/>
      <c r="K22" s="17"/>
      <c r="L22" s="17"/>
      <c r="M22" s="12">
        <f>SUM(InnovationProjectResults[[#This Row],[Identify - Define]:[Communicate - Fun (CV)]])</f>
        <v>0</v>
      </c>
      <c r="N22" s="43">
        <f>IF(InnovationProjectResults[[#This Row],[Team Number]]&gt;0,MIN(_xlfn.RANK.EQ(InnovationProjectResults[[#This Row],[Innovation Project Score]],InnovationProjectResults[Innovation Project Score],0),NumberOfTeams),NumberOfTeams+1)</f>
        <v>1</v>
      </c>
    </row>
    <row r="23" spans="1:14" ht="30" customHeight="1" x14ac:dyDescent="0.45">
      <c r="A23" s="12">
        <f>_xlfn.XLOOKUP(22,OfficialTeamList[Row],OfficialTeamList[Team Number],"ERROR",0)</f>
        <v>0</v>
      </c>
      <c r="B23" s="42" t="str">
        <f>_xlfn.XLOOKUP(InnovationProjectResults[[#This Row],[Team Number]],OfficialTeamList[Team Number],OfficialTeamList[Team Name],"",0,)</f>
        <v/>
      </c>
      <c r="C23" s="17"/>
      <c r="D23" s="17"/>
      <c r="E23" s="17"/>
      <c r="F23" s="17"/>
      <c r="G23" s="17"/>
      <c r="H23" s="17"/>
      <c r="I23" s="17"/>
      <c r="J23" s="17"/>
      <c r="K23" s="17"/>
      <c r="L23" s="17"/>
      <c r="M23" s="12">
        <f>SUM(InnovationProjectResults[[#This Row],[Identify - Define]:[Communicate - Fun (CV)]])</f>
        <v>0</v>
      </c>
      <c r="N23" s="43">
        <f>IF(InnovationProjectResults[[#This Row],[Team Number]]&gt;0,MIN(_xlfn.RANK.EQ(InnovationProjectResults[[#This Row],[Innovation Project Score]],InnovationProjectResults[Innovation Project Score],0),NumberOfTeams),NumberOfTeams+1)</f>
        <v>1</v>
      </c>
    </row>
    <row r="24" spans="1:14" ht="30" customHeight="1" x14ac:dyDescent="0.45">
      <c r="A24" s="12">
        <f>_xlfn.XLOOKUP(23,OfficialTeamList[Row],OfficialTeamList[Team Number],"ERROR",0)</f>
        <v>0</v>
      </c>
      <c r="B24" s="42" t="str">
        <f>_xlfn.XLOOKUP(InnovationProjectResults[[#This Row],[Team Number]],OfficialTeamList[Team Number],OfficialTeamList[Team Name],"",0,)</f>
        <v/>
      </c>
      <c r="C24" s="17"/>
      <c r="D24" s="17"/>
      <c r="E24" s="17"/>
      <c r="F24" s="17"/>
      <c r="G24" s="17"/>
      <c r="H24" s="17"/>
      <c r="I24" s="17"/>
      <c r="J24" s="17"/>
      <c r="K24" s="17"/>
      <c r="L24" s="17"/>
      <c r="M24" s="12">
        <f>SUM(InnovationProjectResults[[#This Row],[Identify - Define]:[Communicate - Fun (CV)]])</f>
        <v>0</v>
      </c>
      <c r="N24" s="43">
        <f>IF(InnovationProjectResults[[#This Row],[Team Number]]&gt;0,MIN(_xlfn.RANK.EQ(InnovationProjectResults[[#This Row],[Innovation Project Score]],InnovationProjectResults[Innovation Project Score],0),NumberOfTeams),NumberOfTeams+1)</f>
        <v>1</v>
      </c>
    </row>
    <row r="25" spans="1:14" ht="30" customHeight="1" x14ac:dyDescent="0.45">
      <c r="A25" s="12">
        <f>_xlfn.XLOOKUP(24,OfficialTeamList[Row],OfficialTeamList[Team Number],"ERROR",0)</f>
        <v>0</v>
      </c>
      <c r="B25" s="42" t="str">
        <f>_xlfn.XLOOKUP(InnovationProjectResults[[#This Row],[Team Number]],OfficialTeamList[Team Number],OfficialTeamList[Team Name],"",0,)</f>
        <v/>
      </c>
      <c r="C25" s="17"/>
      <c r="D25" s="17"/>
      <c r="E25" s="17"/>
      <c r="F25" s="17"/>
      <c r="G25" s="17"/>
      <c r="H25" s="17"/>
      <c r="I25" s="17"/>
      <c r="J25" s="17"/>
      <c r="K25" s="17"/>
      <c r="L25" s="17"/>
      <c r="M25" s="12">
        <f>SUM(InnovationProjectResults[[#This Row],[Identify - Define]:[Communicate - Fun (CV)]])</f>
        <v>0</v>
      </c>
      <c r="N25" s="43">
        <f>IF(InnovationProjectResults[[#This Row],[Team Number]]&gt;0,MIN(_xlfn.RANK.EQ(InnovationProjectResults[[#This Row],[Innovation Project Score]],InnovationProjectResults[Innovation Project Score],0),NumberOfTeams),NumberOfTeams+1)</f>
        <v>1</v>
      </c>
    </row>
    <row r="26" spans="1:14" ht="30" customHeight="1" x14ac:dyDescent="0.45">
      <c r="A26" s="12">
        <f>_xlfn.XLOOKUP(25,OfficialTeamList[Row],OfficialTeamList[Team Number],"ERROR",0)</f>
        <v>0</v>
      </c>
      <c r="B26" s="42" t="str">
        <f>_xlfn.XLOOKUP(InnovationProjectResults[[#This Row],[Team Number]],OfficialTeamList[Team Number],OfficialTeamList[Team Name],"",0,)</f>
        <v/>
      </c>
      <c r="C26" s="17"/>
      <c r="D26" s="17"/>
      <c r="E26" s="17"/>
      <c r="F26" s="17"/>
      <c r="G26" s="17"/>
      <c r="H26" s="17"/>
      <c r="I26" s="17"/>
      <c r="J26" s="17"/>
      <c r="K26" s="17"/>
      <c r="L26" s="17"/>
      <c r="M26" s="12">
        <f>SUM(InnovationProjectResults[[#This Row],[Identify - Define]:[Communicate - Fun (CV)]])</f>
        <v>0</v>
      </c>
      <c r="N26" s="43">
        <f>IF(InnovationProjectResults[[#This Row],[Team Number]]&gt;0,MIN(_xlfn.RANK.EQ(InnovationProjectResults[[#This Row],[Innovation Project Score]],InnovationProjectResults[Innovation Project Score],0),NumberOfTeams),NumberOfTeams+1)</f>
        <v>1</v>
      </c>
    </row>
    <row r="27" spans="1:14" ht="30" customHeight="1" x14ac:dyDescent="0.45">
      <c r="A27" s="12">
        <f>_xlfn.XLOOKUP(26,OfficialTeamList[Row],OfficialTeamList[Team Number],"ERROR",0)</f>
        <v>0</v>
      </c>
      <c r="B27" s="42" t="str">
        <f>_xlfn.XLOOKUP(InnovationProjectResults[[#This Row],[Team Number]],OfficialTeamList[Team Number],OfficialTeamList[Team Name],"",0,)</f>
        <v/>
      </c>
      <c r="C27" s="17"/>
      <c r="D27" s="17"/>
      <c r="E27" s="17"/>
      <c r="F27" s="17"/>
      <c r="G27" s="17"/>
      <c r="H27" s="17"/>
      <c r="I27" s="17"/>
      <c r="J27" s="17"/>
      <c r="K27" s="17"/>
      <c r="L27" s="17"/>
      <c r="M27" s="12">
        <f>SUM(InnovationProjectResults[[#This Row],[Identify - Define]:[Communicate - Fun (CV)]])</f>
        <v>0</v>
      </c>
      <c r="N27" s="43">
        <f>IF(InnovationProjectResults[[#This Row],[Team Number]]&gt;0,MIN(_xlfn.RANK.EQ(InnovationProjectResults[[#This Row],[Innovation Project Score]],InnovationProjectResults[Innovation Project Score],0),NumberOfTeams),NumberOfTeams+1)</f>
        <v>1</v>
      </c>
    </row>
    <row r="28" spans="1:14" ht="30" customHeight="1" x14ac:dyDescent="0.45">
      <c r="A28" s="12">
        <f>_xlfn.XLOOKUP(27,OfficialTeamList[Row],OfficialTeamList[Team Number],"ERROR",0)</f>
        <v>0</v>
      </c>
      <c r="B28" s="42" t="str">
        <f>_xlfn.XLOOKUP(InnovationProjectResults[[#This Row],[Team Number]],OfficialTeamList[Team Number],OfficialTeamList[Team Name],"",0,)</f>
        <v/>
      </c>
      <c r="C28" s="17"/>
      <c r="D28" s="17"/>
      <c r="E28" s="17"/>
      <c r="F28" s="17"/>
      <c r="G28" s="17"/>
      <c r="H28" s="17"/>
      <c r="I28" s="17"/>
      <c r="J28" s="17"/>
      <c r="K28" s="17"/>
      <c r="L28" s="17"/>
      <c r="M28" s="12">
        <f>SUM(InnovationProjectResults[[#This Row],[Identify - Define]:[Communicate - Fun (CV)]])</f>
        <v>0</v>
      </c>
      <c r="N28" s="43">
        <f>IF(InnovationProjectResults[[#This Row],[Team Number]]&gt;0,MIN(_xlfn.RANK.EQ(InnovationProjectResults[[#This Row],[Innovation Project Score]],InnovationProjectResults[Innovation Project Score],0),NumberOfTeams),NumberOfTeams+1)</f>
        <v>1</v>
      </c>
    </row>
    <row r="29" spans="1:14" ht="30" customHeight="1" x14ac:dyDescent="0.45">
      <c r="A29" s="12">
        <f>_xlfn.XLOOKUP(28,OfficialTeamList[Row],OfficialTeamList[Team Number],"ERROR",0)</f>
        <v>0</v>
      </c>
      <c r="B29" s="42" t="str">
        <f>_xlfn.XLOOKUP(InnovationProjectResults[[#This Row],[Team Number]],OfficialTeamList[Team Number],OfficialTeamList[Team Name],"",0,)</f>
        <v/>
      </c>
      <c r="C29" s="17"/>
      <c r="D29" s="17"/>
      <c r="E29" s="17"/>
      <c r="F29" s="17"/>
      <c r="G29" s="17"/>
      <c r="H29" s="17"/>
      <c r="I29" s="17"/>
      <c r="J29" s="17"/>
      <c r="K29" s="17"/>
      <c r="L29" s="17"/>
      <c r="M29" s="12">
        <f>SUM(InnovationProjectResults[[#This Row],[Identify - Define]:[Communicate - Fun (CV)]])</f>
        <v>0</v>
      </c>
      <c r="N29" s="43">
        <f>IF(InnovationProjectResults[[#This Row],[Team Number]]&gt;0,MIN(_xlfn.RANK.EQ(InnovationProjectResults[[#This Row],[Innovation Project Score]],InnovationProjectResults[Innovation Project Score],0),NumberOfTeams),NumberOfTeams+1)</f>
        <v>1</v>
      </c>
    </row>
    <row r="30" spans="1:14" ht="30" customHeight="1" x14ac:dyDescent="0.45">
      <c r="A30" s="12">
        <f>_xlfn.XLOOKUP(29,OfficialTeamList[Row],OfficialTeamList[Team Number],"ERROR",0)</f>
        <v>0</v>
      </c>
      <c r="B30" s="42" t="str">
        <f>_xlfn.XLOOKUP(InnovationProjectResults[[#This Row],[Team Number]],OfficialTeamList[Team Number],OfficialTeamList[Team Name],"",0,)</f>
        <v/>
      </c>
      <c r="C30" s="17"/>
      <c r="D30" s="17"/>
      <c r="E30" s="17"/>
      <c r="F30" s="17"/>
      <c r="G30" s="17"/>
      <c r="H30" s="17"/>
      <c r="I30" s="17"/>
      <c r="J30" s="17"/>
      <c r="K30" s="17"/>
      <c r="L30" s="17"/>
      <c r="M30" s="12">
        <f>SUM(InnovationProjectResults[[#This Row],[Identify - Define]:[Communicate - Fun (CV)]])</f>
        <v>0</v>
      </c>
      <c r="N30" s="43">
        <f>IF(InnovationProjectResults[[#This Row],[Team Number]]&gt;0,MIN(_xlfn.RANK.EQ(InnovationProjectResults[[#This Row],[Innovation Project Score]],InnovationProjectResults[Innovation Project Score],0),NumberOfTeams),NumberOfTeams+1)</f>
        <v>1</v>
      </c>
    </row>
    <row r="31" spans="1:14" ht="30" customHeight="1" x14ac:dyDescent="0.45">
      <c r="A31" s="12">
        <f>_xlfn.XLOOKUP(30,OfficialTeamList[Row],OfficialTeamList[Team Number],"ERROR",0)</f>
        <v>0</v>
      </c>
      <c r="B31" s="42" t="str">
        <f>_xlfn.XLOOKUP(InnovationProjectResults[[#This Row],[Team Number]],OfficialTeamList[Team Number],OfficialTeamList[Team Name],"",0,)</f>
        <v/>
      </c>
      <c r="C31" s="17"/>
      <c r="D31" s="17"/>
      <c r="E31" s="17"/>
      <c r="F31" s="17"/>
      <c r="G31" s="17"/>
      <c r="H31" s="17"/>
      <c r="I31" s="17"/>
      <c r="J31" s="17"/>
      <c r="K31" s="17"/>
      <c r="L31" s="17"/>
      <c r="M31" s="12">
        <f>SUM(InnovationProjectResults[[#This Row],[Identify - Define]:[Communicate - Fun (CV)]])</f>
        <v>0</v>
      </c>
      <c r="N31" s="43">
        <f>IF(InnovationProjectResults[[#This Row],[Team Number]]&gt;0,MIN(_xlfn.RANK.EQ(InnovationProjectResults[[#This Row],[Innovation Project Score]],InnovationProjectResults[Innovation Project Score],0),NumberOfTeams),NumberOfTeams+1)</f>
        <v>1</v>
      </c>
    </row>
    <row r="32" spans="1:14" ht="30" customHeight="1" x14ac:dyDescent="0.45">
      <c r="A32" s="12">
        <f>_xlfn.XLOOKUP(31,OfficialTeamList[Row],OfficialTeamList[Team Number],"ERROR",0)</f>
        <v>0</v>
      </c>
      <c r="B32" s="42" t="str">
        <f>_xlfn.XLOOKUP(InnovationProjectResults[[#This Row],[Team Number]],OfficialTeamList[Team Number],OfficialTeamList[Team Name],"",0,)</f>
        <v/>
      </c>
      <c r="C32" s="17"/>
      <c r="D32" s="17"/>
      <c r="E32" s="17"/>
      <c r="F32" s="17"/>
      <c r="G32" s="17"/>
      <c r="H32" s="17"/>
      <c r="I32" s="17"/>
      <c r="J32" s="17"/>
      <c r="K32" s="17"/>
      <c r="L32" s="17"/>
      <c r="M32" s="12">
        <f>SUM(InnovationProjectResults[[#This Row],[Identify - Define]:[Communicate - Fun (CV)]])</f>
        <v>0</v>
      </c>
      <c r="N32" s="43">
        <f>IF(InnovationProjectResults[[#This Row],[Team Number]]&gt;0,MIN(_xlfn.RANK.EQ(InnovationProjectResults[[#This Row],[Innovation Project Score]],InnovationProjectResults[Innovation Project Score],0),NumberOfTeams),NumberOfTeams+1)</f>
        <v>1</v>
      </c>
    </row>
    <row r="33" spans="1:14" ht="30" customHeight="1" x14ac:dyDescent="0.45">
      <c r="A33" s="12">
        <f>_xlfn.XLOOKUP(32,OfficialTeamList[Row],OfficialTeamList[Team Number],"ERROR",0)</f>
        <v>0</v>
      </c>
      <c r="B33" s="42" t="str">
        <f>_xlfn.XLOOKUP(InnovationProjectResults[[#This Row],[Team Number]],OfficialTeamList[Team Number],OfficialTeamList[Team Name],"",0,)</f>
        <v/>
      </c>
      <c r="C33" s="17"/>
      <c r="D33" s="17"/>
      <c r="E33" s="17"/>
      <c r="F33" s="17"/>
      <c r="G33" s="17"/>
      <c r="H33" s="17"/>
      <c r="I33" s="17"/>
      <c r="J33" s="17"/>
      <c r="K33" s="17"/>
      <c r="L33" s="17"/>
      <c r="M33" s="12">
        <f>SUM(InnovationProjectResults[[#This Row],[Identify - Define]:[Communicate - Fun (CV)]])</f>
        <v>0</v>
      </c>
      <c r="N33" s="43">
        <f>IF(InnovationProjectResults[[#This Row],[Team Number]]&gt;0,MIN(_xlfn.RANK.EQ(InnovationProjectResults[[#This Row],[Innovation Project Score]],InnovationProjectResults[Innovation Project Score],0),NumberOfTeams),NumberOfTeams+1)</f>
        <v>1</v>
      </c>
    </row>
    <row r="34" spans="1:14" ht="30" customHeight="1" x14ac:dyDescent="0.45">
      <c r="A34" s="12">
        <f>_xlfn.XLOOKUP(33,OfficialTeamList[Row],OfficialTeamList[Team Number],"ERROR",0)</f>
        <v>0</v>
      </c>
      <c r="B34" s="42" t="str">
        <f>_xlfn.XLOOKUP(InnovationProjectResults[[#This Row],[Team Number]],OfficialTeamList[Team Number],OfficialTeamList[Team Name],"",0,)</f>
        <v/>
      </c>
      <c r="C34" s="17"/>
      <c r="D34" s="17"/>
      <c r="E34" s="17"/>
      <c r="F34" s="17"/>
      <c r="G34" s="17"/>
      <c r="H34" s="17"/>
      <c r="I34" s="17"/>
      <c r="J34" s="17"/>
      <c r="K34" s="17"/>
      <c r="L34" s="17"/>
      <c r="M34" s="12">
        <f>SUM(InnovationProjectResults[[#This Row],[Identify - Define]:[Communicate - Fun (CV)]])</f>
        <v>0</v>
      </c>
      <c r="N34" s="43">
        <f>IF(InnovationProjectResults[[#This Row],[Team Number]]&gt;0,MIN(_xlfn.RANK.EQ(InnovationProjectResults[[#This Row],[Innovation Project Score]],InnovationProjectResults[Innovation Project Score],0),NumberOfTeams),NumberOfTeams+1)</f>
        <v>1</v>
      </c>
    </row>
    <row r="35" spans="1:14" ht="30" customHeight="1" x14ac:dyDescent="0.45">
      <c r="A35" s="12">
        <f>_xlfn.XLOOKUP(34,OfficialTeamList[Row],OfficialTeamList[Team Number],"ERROR",0)</f>
        <v>0</v>
      </c>
      <c r="B35" s="42" t="str">
        <f>_xlfn.XLOOKUP(InnovationProjectResults[[#This Row],[Team Number]],OfficialTeamList[Team Number],OfficialTeamList[Team Name],"",0,)</f>
        <v/>
      </c>
      <c r="C35" s="17"/>
      <c r="D35" s="17"/>
      <c r="E35" s="17"/>
      <c r="F35" s="17"/>
      <c r="G35" s="17"/>
      <c r="H35" s="17"/>
      <c r="I35" s="17"/>
      <c r="J35" s="17"/>
      <c r="K35" s="17"/>
      <c r="L35" s="17"/>
      <c r="M35" s="12">
        <f>SUM(InnovationProjectResults[[#This Row],[Identify - Define]:[Communicate - Fun (CV)]])</f>
        <v>0</v>
      </c>
      <c r="N35" s="43">
        <f>IF(InnovationProjectResults[[#This Row],[Team Number]]&gt;0,MIN(_xlfn.RANK.EQ(InnovationProjectResults[[#This Row],[Innovation Project Score]],InnovationProjectResults[Innovation Project Score],0),NumberOfTeams),NumberOfTeams+1)</f>
        <v>1</v>
      </c>
    </row>
    <row r="36" spans="1:14" ht="30" customHeight="1" x14ac:dyDescent="0.45">
      <c r="A36" s="12">
        <f>_xlfn.XLOOKUP(35,OfficialTeamList[Row],OfficialTeamList[Team Number],"ERROR",0)</f>
        <v>0</v>
      </c>
      <c r="B36" s="42" t="str">
        <f>_xlfn.XLOOKUP(InnovationProjectResults[[#This Row],[Team Number]],OfficialTeamList[Team Number],OfficialTeamList[Team Name],"",0,)</f>
        <v/>
      </c>
      <c r="C36" s="17"/>
      <c r="D36" s="17"/>
      <c r="E36" s="17"/>
      <c r="F36" s="17"/>
      <c r="G36" s="17"/>
      <c r="H36" s="17"/>
      <c r="I36" s="17"/>
      <c r="J36" s="17"/>
      <c r="K36" s="17"/>
      <c r="L36" s="17"/>
      <c r="M36" s="12">
        <f>SUM(InnovationProjectResults[[#This Row],[Identify - Define]:[Communicate - Fun (CV)]])</f>
        <v>0</v>
      </c>
      <c r="N36" s="43">
        <f>IF(InnovationProjectResults[[#This Row],[Team Number]]&gt;0,MIN(_xlfn.RANK.EQ(InnovationProjectResults[[#This Row],[Innovation Project Score]],InnovationProjectResults[Innovation Project Score],0),NumberOfTeams),NumberOfTeams+1)</f>
        <v>1</v>
      </c>
    </row>
    <row r="37" spans="1:14" ht="30" customHeight="1" x14ac:dyDescent="0.45">
      <c r="A37" s="12">
        <f>_xlfn.XLOOKUP(36,OfficialTeamList[Row],OfficialTeamList[Team Number],"ERROR",0)</f>
        <v>0</v>
      </c>
      <c r="B37" s="42" t="str">
        <f>_xlfn.XLOOKUP(InnovationProjectResults[[#This Row],[Team Number]],OfficialTeamList[Team Number],OfficialTeamList[Team Name],"",0,)</f>
        <v/>
      </c>
      <c r="C37" s="17"/>
      <c r="D37" s="17"/>
      <c r="E37" s="17"/>
      <c r="F37" s="17"/>
      <c r="G37" s="17"/>
      <c r="H37" s="17"/>
      <c r="I37" s="17"/>
      <c r="J37" s="17"/>
      <c r="K37" s="17"/>
      <c r="L37" s="17"/>
      <c r="M37" s="12">
        <f>SUM(InnovationProjectResults[[#This Row],[Identify - Define]:[Communicate - Fun (CV)]])</f>
        <v>0</v>
      </c>
      <c r="N37" s="43">
        <f>IF(InnovationProjectResults[[#This Row],[Team Number]]&gt;0,MIN(_xlfn.RANK.EQ(InnovationProjectResults[[#This Row],[Innovation Project Score]],InnovationProjectResults[Innovation Project Score],0),NumberOfTeams),NumberOfTeams+1)</f>
        <v>1</v>
      </c>
    </row>
    <row r="38" spans="1:14" ht="30" customHeight="1" x14ac:dyDescent="0.45">
      <c r="A38" s="12">
        <f>_xlfn.XLOOKUP(37,OfficialTeamList[Row],OfficialTeamList[Team Number],"ERROR",0)</f>
        <v>0</v>
      </c>
      <c r="B38" s="42" t="str">
        <f>_xlfn.XLOOKUP(InnovationProjectResults[[#This Row],[Team Number]],OfficialTeamList[Team Number],OfficialTeamList[Team Name],"",0,)</f>
        <v/>
      </c>
      <c r="C38" s="17"/>
      <c r="D38" s="17"/>
      <c r="E38" s="17"/>
      <c r="F38" s="17"/>
      <c r="G38" s="17"/>
      <c r="H38" s="17"/>
      <c r="I38" s="17"/>
      <c r="J38" s="17"/>
      <c r="K38" s="17"/>
      <c r="L38" s="17"/>
      <c r="M38" s="12">
        <f>SUM(InnovationProjectResults[[#This Row],[Identify - Define]:[Communicate - Fun (CV)]])</f>
        <v>0</v>
      </c>
      <c r="N38" s="43">
        <f>IF(InnovationProjectResults[[#This Row],[Team Number]]&gt;0,MIN(_xlfn.RANK.EQ(InnovationProjectResults[[#This Row],[Innovation Project Score]],InnovationProjectResults[Innovation Project Score],0),NumberOfTeams),NumberOfTeams+1)</f>
        <v>1</v>
      </c>
    </row>
    <row r="39" spans="1:14" ht="30" customHeight="1" x14ac:dyDescent="0.45">
      <c r="A39" s="12">
        <f>_xlfn.XLOOKUP(38,OfficialTeamList[Row],OfficialTeamList[Team Number],"ERROR",0)</f>
        <v>0</v>
      </c>
      <c r="B39" s="42" t="str">
        <f>_xlfn.XLOOKUP(InnovationProjectResults[[#This Row],[Team Number]],OfficialTeamList[Team Number],OfficialTeamList[Team Name],"",0,)</f>
        <v/>
      </c>
      <c r="C39" s="17"/>
      <c r="D39" s="17"/>
      <c r="E39" s="17"/>
      <c r="F39" s="17"/>
      <c r="G39" s="17"/>
      <c r="H39" s="17"/>
      <c r="I39" s="17"/>
      <c r="J39" s="17"/>
      <c r="K39" s="17"/>
      <c r="L39" s="17"/>
      <c r="M39" s="12">
        <f>SUM(InnovationProjectResults[[#This Row],[Identify - Define]:[Communicate - Fun (CV)]])</f>
        <v>0</v>
      </c>
      <c r="N39" s="43">
        <f>IF(InnovationProjectResults[[#This Row],[Team Number]]&gt;0,MIN(_xlfn.RANK.EQ(InnovationProjectResults[[#This Row],[Innovation Project Score]],InnovationProjectResults[Innovation Project Score],0),NumberOfTeams),NumberOfTeams+1)</f>
        <v>1</v>
      </c>
    </row>
    <row r="40" spans="1:14" ht="30" customHeight="1" x14ac:dyDescent="0.45">
      <c r="A40" s="12">
        <f>_xlfn.XLOOKUP(39,OfficialTeamList[Row],OfficialTeamList[Team Number],"ERROR",0)</f>
        <v>0</v>
      </c>
      <c r="B40" s="42" t="str">
        <f>_xlfn.XLOOKUP(InnovationProjectResults[[#This Row],[Team Number]],OfficialTeamList[Team Number],OfficialTeamList[Team Name],"",0,)</f>
        <v/>
      </c>
      <c r="C40" s="17"/>
      <c r="D40" s="17"/>
      <c r="E40" s="17"/>
      <c r="F40" s="17"/>
      <c r="G40" s="17"/>
      <c r="H40" s="17"/>
      <c r="I40" s="17"/>
      <c r="J40" s="17"/>
      <c r="K40" s="17"/>
      <c r="L40" s="17"/>
      <c r="M40" s="12">
        <f>SUM(InnovationProjectResults[[#This Row],[Identify - Define]:[Communicate - Fun (CV)]])</f>
        <v>0</v>
      </c>
      <c r="N40" s="43">
        <f>IF(InnovationProjectResults[[#This Row],[Team Number]]&gt;0,MIN(_xlfn.RANK.EQ(InnovationProjectResults[[#This Row],[Innovation Project Score]],InnovationProjectResults[Innovation Project Score],0),NumberOfTeams),NumberOfTeams+1)</f>
        <v>1</v>
      </c>
    </row>
    <row r="41" spans="1:14" ht="30" customHeight="1" x14ac:dyDescent="0.45">
      <c r="A41" s="12">
        <f>_xlfn.XLOOKUP(40,OfficialTeamList[Row],OfficialTeamList[Team Number],"ERROR",0)</f>
        <v>0</v>
      </c>
      <c r="B41" s="42" t="str">
        <f>_xlfn.XLOOKUP(InnovationProjectResults[[#This Row],[Team Number]],OfficialTeamList[Team Number],OfficialTeamList[Team Name],"",0,)</f>
        <v/>
      </c>
      <c r="C41" s="17"/>
      <c r="D41" s="17"/>
      <c r="E41" s="17"/>
      <c r="F41" s="17"/>
      <c r="G41" s="17"/>
      <c r="H41" s="17"/>
      <c r="I41" s="17"/>
      <c r="J41" s="17"/>
      <c r="K41" s="17"/>
      <c r="L41" s="17"/>
      <c r="M41" s="12">
        <f>SUM(InnovationProjectResults[[#This Row],[Identify - Define]:[Communicate - Fun (CV)]])</f>
        <v>0</v>
      </c>
      <c r="N41" s="43">
        <f>IF(InnovationProjectResults[[#This Row],[Team Number]]&gt;0,MIN(_xlfn.RANK.EQ(InnovationProjectResults[[#This Row],[Innovation Project Score]],InnovationProjectResults[Innovation Project Score],0),NumberOfTeams),NumberOfTeams+1)</f>
        <v>1</v>
      </c>
    </row>
    <row r="42" spans="1:14" ht="30" customHeight="1" x14ac:dyDescent="0.45">
      <c r="A42" s="12">
        <f>_xlfn.XLOOKUP(41,OfficialTeamList[Row],OfficialTeamList[Team Number],"ERROR",0)</f>
        <v>0</v>
      </c>
      <c r="B42" s="42" t="str">
        <f>_xlfn.XLOOKUP(InnovationProjectResults[[#This Row],[Team Number]],OfficialTeamList[Team Number],OfficialTeamList[Team Name],"",0,)</f>
        <v/>
      </c>
      <c r="C42" s="17"/>
      <c r="D42" s="17"/>
      <c r="E42" s="17"/>
      <c r="F42" s="17"/>
      <c r="G42" s="17"/>
      <c r="H42" s="17"/>
      <c r="I42" s="17"/>
      <c r="J42" s="17"/>
      <c r="K42" s="17"/>
      <c r="L42" s="17"/>
      <c r="M42" s="12">
        <f>SUM(InnovationProjectResults[[#This Row],[Identify - Define]:[Communicate - Fun (CV)]])</f>
        <v>0</v>
      </c>
      <c r="N42" s="43">
        <f>IF(InnovationProjectResults[[#This Row],[Team Number]]&gt;0,MIN(_xlfn.RANK.EQ(InnovationProjectResults[[#This Row],[Innovation Project Score]],InnovationProjectResults[Innovation Project Score],0),NumberOfTeams),NumberOfTeams+1)</f>
        <v>1</v>
      </c>
    </row>
    <row r="43" spans="1:14" ht="30" customHeight="1" x14ac:dyDescent="0.45">
      <c r="A43" s="12">
        <f>_xlfn.XLOOKUP(42,OfficialTeamList[Row],OfficialTeamList[Team Number],"ERROR",0)</f>
        <v>0</v>
      </c>
      <c r="B43" s="42" t="str">
        <f>_xlfn.XLOOKUP(InnovationProjectResults[[#This Row],[Team Number]],OfficialTeamList[Team Number],OfficialTeamList[Team Name],"",0,)</f>
        <v/>
      </c>
      <c r="C43" s="17"/>
      <c r="D43" s="17"/>
      <c r="E43" s="17"/>
      <c r="F43" s="17"/>
      <c r="G43" s="17"/>
      <c r="H43" s="17"/>
      <c r="I43" s="17"/>
      <c r="J43" s="17"/>
      <c r="K43" s="17"/>
      <c r="L43" s="17"/>
      <c r="M43" s="12">
        <f>SUM(InnovationProjectResults[[#This Row],[Identify - Define]:[Communicate - Fun (CV)]])</f>
        <v>0</v>
      </c>
      <c r="N43" s="43">
        <f>IF(InnovationProjectResults[[#This Row],[Team Number]]&gt;0,MIN(_xlfn.RANK.EQ(InnovationProjectResults[[#This Row],[Innovation Project Score]],InnovationProjectResults[Innovation Project Score],0),NumberOfTeams),NumberOfTeams+1)</f>
        <v>1</v>
      </c>
    </row>
    <row r="44" spans="1:14" ht="30" customHeight="1" x14ac:dyDescent="0.45">
      <c r="A44" s="12">
        <f>_xlfn.XLOOKUP(43,OfficialTeamList[Row],OfficialTeamList[Team Number],"ERROR",0)</f>
        <v>0</v>
      </c>
      <c r="B44" s="42" t="str">
        <f>_xlfn.XLOOKUP(InnovationProjectResults[[#This Row],[Team Number]],OfficialTeamList[Team Number],OfficialTeamList[Team Name],"",0,)</f>
        <v/>
      </c>
      <c r="C44" s="17"/>
      <c r="D44" s="17"/>
      <c r="E44" s="17"/>
      <c r="F44" s="17"/>
      <c r="G44" s="17"/>
      <c r="H44" s="17"/>
      <c r="I44" s="17"/>
      <c r="J44" s="17"/>
      <c r="K44" s="17"/>
      <c r="L44" s="17"/>
      <c r="M44" s="12">
        <f>SUM(InnovationProjectResults[[#This Row],[Identify - Define]:[Communicate - Fun (CV)]])</f>
        <v>0</v>
      </c>
      <c r="N44" s="43">
        <f>IF(InnovationProjectResults[[#This Row],[Team Number]]&gt;0,MIN(_xlfn.RANK.EQ(InnovationProjectResults[[#This Row],[Innovation Project Score]],InnovationProjectResults[Innovation Project Score],0),NumberOfTeams),NumberOfTeams+1)</f>
        <v>1</v>
      </c>
    </row>
    <row r="45" spans="1:14" ht="30" customHeight="1" x14ac:dyDescent="0.45">
      <c r="A45" s="12">
        <f>_xlfn.XLOOKUP(44,OfficialTeamList[Row],OfficialTeamList[Team Number],"ERROR",0)</f>
        <v>0</v>
      </c>
      <c r="B45" s="42" t="str">
        <f>_xlfn.XLOOKUP(InnovationProjectResults[[#This Row],[Team Number]],OfficialTeamList[Team Number],OfficialTeamList[Team Name],"",0,)</f>
        <v/>
      </c>
      <c r="C45" s="44"/>
      <c r="D45" s="44"/>
      <c r="E45" s="44"/>
      <c r="F45" s="44"/>
      <c r="G45" s="44"/>
      <c r="H45" s="44"/>
      <c r="I45" s="44"/>
      <c r="J45" s="44"/>
      <c r="K45" s="44"/>
      <c r="L45" s="44"/>
      <c r="M45" s="12">
        <f>SUM(InnovationProjectResults[[#This Row],[Identify - Define]:[Communicate - Fun (CV)]])</f>
        <v>0</v>
      </c>
      <c r="N45" s="43">
        <f>IF(InnovationProjectResults[[#This Row],[Team Number]]&gt;0,MIN(_xlfn.RANK.EQ(InnovationProjectResults[[#This Row],[Innovation Project Score]],InnovationProjectResults[Innovation Project Score],0),NumberOfTeams),NumberOfTeams+1)</f>
        <v>1</v>
      </c>
    </row>
    <row r="46" spans="1:14" ht="30" customHeight="1" x14ac:dyDescent="0.45">
      <c r="A46" s="12">
        <f>_xlfn.XLOOKUP(45,OfficialTeamList[Row],OfficialTeamList[Team Number],"ERROR",0)</f>
        <v>0</v>
      </c>
      <c r="B46" s="42" t="str">
        <f>_xlfn.XLOOKUP(InnovationProjectResults[[#This Row],[Team Number]],OfficialTeamList[Team Number],OfficialTeamList[Team Name],"",0,)</f>
        <v/>
      </c>
      <c r="C46" s="44"/>
      <c r="D46" s="44"/>
      <c r="E46" s="44"/>
      <c r="F46" s="44"/>
      <c r="G46" s="44"/>
      <c r="H46" s="44"/>
      <c r="I46" s="44"/>
      <c r="J46" s="44"/>
      <c r="K46" s="44"/>
      <c r="L46" s="44"/>
      <c r="M46" s="12">
        <f>SUM(InnovationProjectResults[[#This Row],[Identify - Define]:[Communicate - Fun (CV)]])</f>
        <v>0</v>
      </c>
      <c r="N46" s="43">
        <f>IF(InnovationProjectResults[[#This Row],[Team Number]]&gt;0,MIN(_xlfn.RANK.EQ(InnovationProjectResults[[#This Row],[Innovation Project Score]],InnovationProjectResults[Innovation Project Score],0),NumberOfTeams),NumberOfTeams+1)</f>
        <v>1</v>
      </c>
    </row>
    <row r="47" spans="1:14" ht="30" customHeight="1" x14ac:dyDescent="0.45">
      <c r="A47" s="12">
        <f>_xlfn.XLOOKUP(46,OfficialTeamList[Row],OfficialTeamList[Team Number],"ERROR",0)</f>
        <v>0</v>
      </c>
      <c r="B47" s="42" t="str">
        <f>_xlfn.XLOOKUP(InnovationProjectResults[[#This Row],[Team Number]],OfficialTeamList[Team Number],OfficialTeamList[Team Name],"",0,)</f>
        <v/>
      </c>
      <c r="C47" s="44"/>
      <c r="D47" s="44"/>
      <c r="E47" s="44"/>
      <c r="F47" s="44"/>
      <c r="G47" s="44"/>
      <c r="H47" s="44"/>
      <c r="I47" s="44"/>
      <c r="J47" s="44"/>
      <c r="K47" s="44"/>
      <c r="L47" s="44"/>
      <c r="M47" s="12">
        <f>SUM(InnovationProjectResults[[#This Row],[Identify - Define]:[Communicate - Fun (CV)]])</f>
        <v>0</v>
      </c>
      <c r="N47" s="43">
        <f>IF(InnovationProjectResults[[#This Row],[Team Number]]&gt;0,MIN(_xlfn.RANK.EQ(InnovationProjectResults[[#This Row],[Innovation Project Score]],InnovationProjectResults[Innovation Project Score],0),NumberOfTeams),NumberOfTeams+1)</f>
        <v>1</v>
      </c>
    </row>
    <row r="48" spans="1:14" ht="30" customHeight="1" x14ac:dyDescent="0.45">
      <c r="A48" s="12">
        <f>_xlfn.XLOOKUP(47,OfficialTeamList[Row],OfficialTeamList[Team Number],"ERROR",0)</f>
        <v>0</v>
      </c>
      <c r="B48" s="42" t="str">
        <f>_xlfn.XLOOKUP(InnovationProjectResults[[#This Row],[Team Number]],OfficialTeamList[Team Number],OfficialTeamList[Team Name],"",0,)</f>
        <v/>
      </c>
      <c r="C48" s="44"/>
      <c r="D48" s="44"/>
      <c r="E48" s="44"/>
      <c r="F48" s="44"/>
      <c r="G48" s="44"/>
      <c r="H48" s="44"/>
      <c r="I48" s="44"/>
      <c r="J48" s="44"/>
      <c r="K48" s="44"/>
      <c r="L48" s="44"/>
      <c r="M48" s="12">
        <f>SUM(InnovationProjectResults[[#This Row],[Identify - Define]:[Communicate - Fun (CV)]])</f>
        <v>0</v>
      </c>
      <c r="N48" s="43">
        <f>IF(InnovationProjectResults[[#This Row],[Team Number]]&gt;0,MIN(_xlfn.RANK.EQ(InnovationProjectResults[[#This Row],[Innovation Project Score]],InnovationProjectResults[Innovation Project Score],0),NumberOfTeams),NumberOfTeams+1)</f>
        <v>1</v>
      </c>
    </row>
    <row r="49" spans="1:14" ht="30" customHeight="1" x14ac:dyDescent="0.45">
      <c r="A49" s="12">
        <f>_xlfn.XLOOKUP(48,OfficialTeamList[Row],OfficialTeamList[Team Number],"ERROR",0)</f>
        <v>0</v>
      </c>
      <c r="B49" s="42" t="str">
        <f>_xlfn.XLOOKUP(InnovationProjectResults[[#This Row],[Team Number]],OfficialTeamList[Team Number],OfficialTeamList[Team Name],"",0,)</f>
        <v/>
      </c>
      <c r="C49" s="44"/>
      <c r="D49" s="44"/>
      <c r="E49" s="44"/>
      <c r="F49" s="44"/>
      <c r="G49" s="44"/>
      <c r="H49" s="44"/>
      <c r="I49" s="44"/>
      <c r="J49" s="44"/>
      <c r="K49" s="44"/>
      <c r="L49" s="44"/>
      <c r="M49" s="12">
        <f>SUM(InnovationProjectResults[[#This Row],[Identify - Define]:[Communicate - Fun (CV)]])</f>
        <v>0</v>
      </c>
      <c r="N49" s="43">
        <f>IF(InnovationProjectResults[[#This Row],[Team Number]]&gt;0,MIN(_xlfn.RANK.EQ(InnovationProjectResults[[#This Row],[Innovation Project Score]],InnovationProjectResults[Innovation Project Score],0),NumberOfTeams),NumberOfTeams+1)</f>
        <v>1</v>
      </c>
    </row>
    <row r="50" spans="1:14" ht="30" customHeight="1" x14ac:dyDescent="0.45">
      <c r="A50" s="12">
        <f>_xlfn.XLOOKUP(49,OfficialTeamList[Row],OfficialTeamList[Team Number],"ERROR",0)</f>
        <v>0</v>
      </c>
      <c r="B50" s="42" t="str">
        <f>_xlfn.XLOOKUP(InnovationProjectResults[[#This Row],[Team Number]],OfficialTeamList[Team Number],OfficialTeamList[Team Name],"",0,)</f>
        <v/>
      </c>
      <c r="C50" s="44"/>
      <c r="D50" s="44"/>
      <c r="E50" s="44"/>
      <c r="F50" s="44"/>
      <c r="G50" s="44"/>
      <c r="H50" s="44"/>
      <c r="I50" s="44"/>
      <c r="J50" s="44"/>
      <c r="K50" s="44"/>
      <c r="L50" s="44"/>
      <c r="M50" s="12">
        <f>SUM(InnovationProjectResults[[#This Row],[Identify - Define]:[Communicate - Fun (CV)]])</f>
        <v>0</v>
      </c>
      <c r="N50" s="43">
        <f>IF(InnovationProjectResults[[#This Row],[Team Number]]&gt;0,MIN(_xlfn.RANK.EQ(InnovationProjectResults[[#This Row],[Innovation Project Score]],InnovationProjectResults[Innovation Project Score],0),NumberOfTeams),NumberOfTeams+1)</f>
        <v>1</v>
      </c>
    </row>
    <row r="51" spans="1:14" ht="30" customHeight="1" x14ac:dyDescent="0.45">
      <c r="A51" s="12">
        <f>_xlfn.XLOOKUP(50,OfficialTeamList[Row],OfficialTeamList[Team Number],"ERROR",0)</f>
        <v>0</v>
      </c>
      <c r="B51" s="42" t="str">
        <f>_xlfn.XLOOKUP(InnovationProjectResults[[#This Row],[Team Number]],OfficialTeamList[Team Number],OfficialTeamList[Team Name],"",0,)</f>
        <v/>
      </c>
      <c r="C51" s="44"/>
      <c r="D51" s="44"/>
      <c r="E51" s="44"/>
      <c r="F51" s="44"/>
      <c r="G51" s="44"/>
      <c r="H51" s="44"/>
      <c r="I51" s="44"/>
      <c r="J51" s="44"/>
      <c r="K51" s="44"/>
      <c r="L51" s="44"/>
      <c r="M51" s="12">
        <f>SUM(InnovationProjectResults[[#This Row],[Identify - Define]:[Communicate - Fun (CV)]])</f>
        <v>0</v>
      </c>
      <c r="N51" s="43">
        <f>IF(InnovationProjectResults[[#This Row],[Team Number]]&gt;0,MIN(_xlfn.RANK.EQ(InnovationProjectResults[[#This Row],[Innovation Project Score]],InnovationProjectResults[Innovation Project Score],0),NumberOfTeams),NumberOfTeams+1)</f>
        <v>1</v>
      </c>
    </row>
    <row r="52" spans="1:14" ht="30" customHeight="1" x14ac:dyDescent="0.45">
      <c r="A52" s="12">
        <f>_xlfn.XLOOKUP(51,OfficialTeamList[Row],OfficialTeamList[Team Number],"ERROR",0)</f>
        <v>0</v>
      </c>
      <c r="B52" s="42" t="str">
        <f>_xlfn.XLOOKUP(InnovationProjectResults[[#This Row],[Team Number]],OfficialTeamList[Team Number],OfficialTeamList[Team Name],"",0,)</f>
        <v/>
      </c>
      <c r="C52" s="44"/>
      <c r="D52" s="44"/>
      <c r="E52" s="44"/>
      <c r="F52" s="44"/>
      <c r="G52" s="44"/>
      <c r="H52" s="44"/>
      <c r="I52" s="44"/>
      <c r="J52" s="44"/>
      <c r="K52" s="44"/>
      <c r="L52" s="44"/>
      <c r="M52" s="12">
        <f>SUM(InnovationProjectResults[[#This Row],[Identify - Define]:[Communicate - Fun (CV)]])</f>
        <v>0</v>
      </c>
      <c r="N52" s="43">
        <f>IF(InnovationProjectResults[[#This Row],[Team Number]]&gt;0,MIN(_xlfn.RANK.EQ(InnovationProjectResults[[#This Row],[Innovation Project Score]],InnovationProjectResults[Innovation Project Score],0),NumberOfTeams),NumberOfTeams+1)</f>
        <v>1</v>
      </c>
    </row>
    <row r="53" spans="1:14" ht="30" customHeight="1" x14ac:dyDescent="0.45">
      <c r="A53" s="12">
        <f>_xlfn.XLOOKUP(52,OfficialTeamList[Row],OfficialTeamList[Team Number],"ERROR",0)</f>
        <v>0</v>
      </c>
      <c r="B53" s="42" t="str">
        <f>_xlfn.XLOOKUP(InnovationProjectResults[[#This Row],[Team Number]],OfficialTeamList[Team Number],OfficialTeamList[Team Name],"",0,)</f>
        <v/>
      </c>
      <c r="C53" s="44"/>
      <c r="D53" s="44"/>
      <c r="E53" s="44"/>
      <c r="F53" s="44"/>
      <c r="G53" s="44"/>
      <c r="H53" s="44"/>
      <c r="I53" s="44"/>
      <c r="J53" s="44"/>
      <c r="K53" s="44"/>
      <c r="L53" s="44"/>
      <c r="M53" s="12">
        <f>SUM(InnovationProjectResults[[#This Row],[Identify - Define]:[Communicate - Fun (CV)]])</f>
        <v>0</v>
      </c>
      <c r="N53" s="43">
        <f>IF(InnovationProjectResults[[#This Row],[Team Number]]&gt;0,MIN(_xlfn.RANK.EQ(InnovationProjectResults[[#This Row],[Innovation Project Score]],InnovationProjectResults[Innovation Project Score],0),NumberOfTeams),NumberOfTeams+1)</f>
        <v>1</v>
      </c>
    </row>
    <row r="54" spans="1:14" ht="30" customHeight="1" x14ac:dyDescent="0.45">
      <c r="A54" s="12">
        <f>_xlfn.XLOOKUP(53,OfficialTeamList[Row],OfficialTeamList[Team Number],"ERROR",0)</f>
        <v>0</v>
      </c>
      <c r="B54" s="42" t="str">
        <f>_xlfn.XLOOKUP(InnovationProjectResults[[#This Row],[Team Number]],OfficialTeamList[Team Number],OfficialTeamList[Team Name],"",0,)</f>
        <v/>
      </c>
      <c r="C54" s="44"/>
      <c r="D54" s="44"/>
      <c r="E54" s="44"/>
      <c r="F54" s="44"/>
      <c r="G54" s="44"/>
      <c r="H54" s="44"/>
      <c r="I54" s="44"/>
      <c r="J54" s="44"/>
      <c r="K54" s="44"/>
      <c r="L54" s="44"/>
      <c r="M54" s="12">
        <f>SUM(InnovationProjectResults[[#This Row],[Identify - Define]:[Communicate - Fun (CV)]])</f>
        <v>0</v>
      </c>
      <c r="N54" s="43">
        <f>IF(InnovationProjectResults[[#This Row],[Team Number]]&gt;0,MIN(_xlfn.RANK.EQ(InnovationProjectResults[[#This Row],[Innovation Project Score]],InnovationProjectResults[Innovation Project Score],0),NumberOfTeams),NumberOfTeams+1)</f>
        <v>1</v>
      </c>
    </row>
    <row r="55" spans="1:14" ht="30" customHeight="1" x14ac:dyDescent="0.45">
      <c r="A55" s="12">
        <f>_xlfn.XLOOKUP(54,OfficialTeamList[Row],OfficialTeamList[Team Number],"ERROR",0)</f>
        <v>0</v>
      </c>
      <c r="B55" s="42" t="str">
        <f>_xlfn.XLOOKUP(InnovationProjectResults[[#This Row],[Team Number]],OfficialTeamList[Team Number],OfficialTeamList[Team Name],"",0,)</f>
        <v/>
      </c>
      <c r="C55" s="44"/>
      <c r="D55" s="44"/>
      <c r="E55" s="44"/>
      <c r="F55" s="44"/>
      <c r="G55" s="44"/>
      <c r="H55" s="44"/>
      <c r="I55" s="44"/>
      <c r="J55" s="44"/>
      <c r="K55" s="44"/>
      <c r="L55" s="44"/>
      <c r="M55" s="12">
        <f>SUM(InnovationProjectResults[[#This Row],[Identify - Define]:[Communicate - Fun (CV)]])</f>
        <v>0</v>
      </c>
      <c r="N55" s="43">
        <f>IF(InnovationProjectResults[[#This Row],[Team Number]]&gt;0,MIN(_xlfn.RANK.EQ(InnovationProjectResults[[#This Row],[Innovation Project Score]],InnovationProjectResults[Innovation Project Score],0),NumberOfTeams),NumberOfTeams+1)</f>
        <v>1</v>
      </c>
    </row>
    <row r="56" spans="1:14" ht="30" customHeight="1" x14ac:dyDescent="0.45">
      <c r="A56" s="12">
        <f>_xlfn.XLOOKUP(55,OfficialTeamList[Row],OfficialTeamList[Team Number],"ERROR",0)</f>
        <v>0</v>
      </c>
      <c r="B56" s="42" t="str">
        <f>_xlfn.XLOOKUP(InnovationProjectResults[[#This Row],[Team Number]],OfficialTeamList[Team Number],OfficialTeamList[Team Name],"",0,)</f>
        <v/>
      </c>
      <c r="C56" s="44"/>
      <c r="D56" s="44"/>
      <c r="E56" s="44"/>
      <c r="F56" s="44"/>
      <c r="G56" s="44"/>
      <c r="H56" s="44"/>
      <c r="I56" s="44"/>
      <c r="J56" s="44"/>
      <c r="K56" s="44"/>
      <c r="L56" s="44"/>
      <c r="M56" s="12">
        <f>SUM(InnovationProjectResults[[#This Row],[Identify - Define]:[Communicate - Fun (CV)]])</f>
        <v>0</v>
      </c>
      <c r="N56" s="43">
        <f>IF(InnovationProjectResults[[#This Row],[Team Number]]&gt;0,MIN(_xlfn.RANK.EQ(InnovationProjectResults[[#This Row],[Innovation Project Score]],InnovationProjectResults[Innovation Project Score],0),NumberOfTeams),NumberOfTeams+1)</f>
        <v>1</v>
      </c>
    </row>
    <row r="57" spans="1:14" ht="30" customHeight="1" x14ac:dyDescent="0.45">
      <c r="A57" s="12">
        <f>_xlfn.XLOOKUP(56,OfficialTeamList[Row],OfficialTeamList[Team Number],"ERROR",0)</f>
        <v>0</v>
      </c>
      <c r="B57" s="42" t="str">
        <f>_xlfn.XLOOKUP(InnovationProjectResults[[#This Row],[Team Number]],OfficialTeamList[Team Number],OfficialTeamList[Team Name],"",0,)</f>
        <v/>
      </c>
      <c r="C57" s="44"/>
      <c r="D57" s="44"/>
      <c r="E57" s="44"/>
      <c r="F57" s="44"/>
      <c r="G57" s="44"/>
      <c r="H57" s="44"/>
      <c r="I57" s="44"/>
      <c r="J57" s="44"/>
      <c r="K57" s="44"/>
      <c r="L57" s="44"/>
      <c r="M57" s="12">
        <f>SUM(InnovationProjectResults[[#This Row],[Identify - Define]:[Communicate - Fun (CV)]])</f>
        <v>0</v>
      </c>
      <c r="N57" s="43">
        <f>IF(InnovationProjectResults[[#This Row],[Team Number]]&gt;0,MIN(_xlfn.RANK.EQ(InnovationProjectResults[[#This Row],[Innovation Project Score]],InnovationProjectResults[Innovation Project Score],0),NumberOfTeams),NumberOfTeams+1)</f>
        <v>1</v>
      </c>
    </row>
    <row r="58" spans="1:14" ht="30" customHeight="1" x14ac:dyDescent="0.45">
      <c r="A58" s="12">
        <f>_xlfn.XLOOKUP(57,OfficialTeamList[Row],OfficialTeamList[Team Number],"ERROR",0)</f>
        <v>0</v>
      </c>
      <c r="B58" s="42" t="str">
        <f>_xlfn.XLOOKUP(InnovationProjectResults[[#This Row],[Team Number]],OfficialTeamList[Team Number],OfficialTeamList[Team Name],"",0,)</f>
        <v/>
      </c>
      <c r="C58" s="44"/>
      <c r="D58" s="44"/>
      <c r="E58" s="44"/>
      <c r="F58" s="44"/>
      <c r="G58" s="44"/>
      <c r="H58" s="44"/>
      <c r="I58" s="44"/>
      <c r="J58" s="44"/>
      <c r="K58" s="44"/>
      <c r="L58" s="44"/>
      <c r="M58" s="12">
        <f>SUM(InnovationProjectResults[[#This Row],[Identify - Define]:[Communicate - Fun (CV)]])</f>
        <v>0</v>
      </c>
      <c r="N58" s="43">
        <f>IF(InnovationProjectResults[[#This Row],[Team Number]]&gt;0,MIN(_xlfn.RANK.EQ(InnovationProjectResults[[#This Row],[Innovation Project Score]],InnovationProjectResults[Innovation Project Score],0),NumberOfTeams),NumberOfTeams+1)</f>
        <v>1</v>
      </c>
    </row>
    <row r="59" spans="1:14" ht="30" customHeight="1" x14ac:dyDescent="0.45">
      <c r="A59" s="12">
        <f>_xlfn.XLOOKUP(58,OfficialTeamList[Row],OfficialTeamList[Team Number],"ERROR",0)</f>
        <v>0</v>
      </c>
      <c r="B59" s="42" t="str">
        <f>_xlfn.XLOOKUP(InnovationProjectResults[[#This Row],[Team Number]],OfficialTeamList[Team Number],OfficialTeamList[Team Name],"",0,)</f>
        <v/>
      </c>
      <c r="C59" s="44"/>
      <c r="D59" s="44"/>
      <c r="E59" s="44"/>
      <c r="F59" s="44"/>
      <c r="G59" s="44"/>
      <c r="H59" s="44"/>
      <c r="I59" s="44"/>
      <c r="J59" s="44"/>
      <c r="K59" s="44"/>
      <c r="L59" s="44"/>
      <c r="M59" s="12">
        <f>SUM(InnovationProjectResults[[#This Row],[Identify - Define]:[Communicate - Fun (CV)]])</f>
        <v>0</v>
      </c>
      <c r="N59" s="43">
        <f>IF(InnovationProjectResults[[#This Row],[Team Number]]&gt;0,MIN(_xlfn.RANK.EQ(InnovationProjectResults[[#This Row],[Innovation Project Score]],InnovationProjectResults[Innovation Project Score],0),NumberOfTeams),NumberOfTeams+1)</f>
        <v>1</v>
      </c>
    </row>
    <row r="60" spans="1:14" ht="30" customHeight="1" x14ac:dyDescent="0.45">
      <c r="A60" s="12">
        <f>_xlfn.XLOOKUP(59,OfficialTeamList[Row],OfficialTeamList[Team Number],"ERROR",0)</f>
        <v>0</v>
      </c>
      <c r="B60" s="42" t="str">
        <f>_xlfn.XLOOKUP(InnovationProjectResults[[#This Row],[Team Number]],OfficialTeamList[Team Number],OfficialTeamList[Team Name],"",0,)</f>
        <v/>
      </c>
      <c r="C60" s="44"/>
      <c r="D60" s="44"/>
      <c r="E60" s="44"/>
      <c r="F60" s="44"/>
      <c r="G60" s="44"/>
      <c r="H60" s="44"/>
      <c r="I60" s="44"/>
      <c r="J60" s="44"/>
      <c r="K60" s="44"/>
      <c r="L60" s="44"/>
      <c r="M60" s="12">
        <f>SUM(InnovationProjectResults[[#This Row],[Identify - Define]:[Communicate - Fun (CV)]])</f>
        <v>0</v>
      </c>
      <c r="N60" s="43">
        <f>IF(InnovationProjectResults[[#This Row],[Team Number]]&gt;0,MIN(_xlfn.RANK.EQ(InnovationProjectResults[[#This Row],[Innovation Project Score]],InnovationProjectResults[Innovation Project Score],0),NumberOfTeams),NumberOfTeams+1)</f>
        <v>1</v>
      </c>
    </row>
    <row r="61" spans="1:14" ht="30" customHeight="1" x14ac:dyDescent="0.45">
      <c r="A61" s="12">
        <f>_xlfn.XLOOKUP(60,OfficialTeamList[Row],OfficialTeamList[Team Number],"ERROR",0)</f>
        <v>0</v>
      </c>
      <c r="B61" s="42" t="str">
        <f>_xlfn.XLOOKUP(InnovationProjectResults[[#This Row],[Team Number]],OfficialTeamList[Team Number],OfficialTeamList[Team Name],"",0,)</f>
        <v/>
      </c>
      <c r="C61" s="44"/>
      <c r="D61" s="44"/>
      <c r="E61" s="44"/>
      <c r="F61" s="44"/>
      <c r="G61" s="44"/>
      <c r="H61" s="44"/>
      <c r="I61" s="44"/>
      <c r="J61" s="44"/>
      <c r="K61" s="44"/>
      <c r="L61" s="44"/>
      <c r="M61" s="12">
        <f>SUM(InnovationProjectResults[[#This Row],[Identify - Define]:[Communicate - Fun (CV)]])</f>
        <v>0</v>
      </c>
      <c r="N61" s="43">
        <f>IF(InnovationProjectResults[[#This Row],[Team Number]]&gt;0,MIN(_xlfn.RANK.EQ(InnovationProjectResults[[#This Row],[Innovation Project Score]],InnovationProjectResults[Innovation Project Score],0),NumberOfTeams),NumberOfTeams+1)</f>
        <v>1</v>
      </c>
    </row>
    <row r="62" spans="1:14" ht="30" customHeight="1" x14ac:dyDescent="0.45">
      <c r="A62" s="12">
        <f>_xlfn.XLOOKUP(61,OfficialTeamList[Row],OfficialTeamList[Team Number],"ERROR",0)</f>
        <v>0</v>
      </c>
      <c r="B62" s="42" t="str">
        <f>_xlfn.XLOOKUP(InnovationProjectResults[[#This Row],[Team Number]],OfficialTeamList[Team Number],OfficialTeamList[Team Name],"",0,)</f>
        <v/>
      </c>
      <c r="C62" s="44"/>
      <c r="D62" s="44"/>
      <c r="E62" s="44"/>
      <c r="F62" s="44"/>
      <c r="G62" s="44"/>
      <c r="H62" s="44"/>
      <c r="I62" s="44"/>
      <c r="J62" s="44"/>
      <c r="K62" s="44"/>
      <c r="L62" s="44"/>
      <c r="M62" s="12">
        <f>SUM(InnovationProjectResults[[#This Row],[Identify - Define]:[Communicate - Fun (CV)]])</f>
        <v>0</v>
      </c>
      <c r="N62" s="43">
        <f>IF(InnovationProjectResults[[#This Row],[Team Number]]&gt;0,MIN(_xlfn.RANK.EQ(InnovationProjectResults[[#This Row],[Innovation Project Score]],InnovationProjectResults[Innovation Project Score],0),NumberOfTeams),NumberOfTeams+1)</f>
        <v>1</v>
      </c>
    </row>
    <row r="63" spans="1:14" ht="30" customHeight="1" x14ac:dyDescent="0.45">
      <c r="A63" s="12">
        <f>_xlfn.XLOOKUP(62,OfficialTeamList[Row],OfficialTeamList[Team Number],"ERROR",0)</f>
        <v>0</v>
      </c>
      <c r="B63" s="42" t="str">
        <f>_xlfn.XLOOKUP(InnovationProjectResults[[#This Row],[Team Number]],OfficialTeamList[Team Number],OfficialTeamList[Team Name],"",0,)</f>
        <v/>
      </c>
      <c r="C63" s="44"/>
      <c r="D63" s="44"/>
      <c r="E63" s="44"/>
      <c r="F63" s="44"/>
      <c r="G63" s="44"/>
      <c r="H63" s="44"/>
      <c r="I63" s="44"/>
      <c r="J63" s="44"/>
      <c r="K63" s="44"/>
      <c r="L63" s="44"/>
      <c r="M63" s="12">
        <f>SUM(InnovationProjectResults[[#This Row],[Identify - Define]:[Communicate - Fun (CV)]])</f>
        <v>0</v>
      </c>
      <c r="N63" s="43">
        <f>IF(InnovationProjectResults[[#This Row],[Team Number]]&gt;0,MIN(_xlfn.RANK.EQ(InnovationProjectResults[[#This Row],[Innovation Project Score]],InnovationProjectResults[Innovation Project Score],0),NumberOfTeams),NumberOfTeams+1)</f>
        <v>1</v>
      </c>
    </row>
    <row r="64" spans="1:14" ht="30" customHeight="1" x14ac:dyDescent="0.45">
      <c r="A64" s="12">
        <f>_xlfn.XLOOKUP(63,OfficialTeamList[Row],OfficialTeamList[Team Number],"ERROR",0)</f>
        <v>0</v>
      </c>
      <c r="B64" s="42" t="str">
        <f>_xlfn.XLOOKUP(InnovationProjectResults[[#This Row],[Team Number]],OfficialTeamList[Team Number],OfficialTeamList[Team Name],"",0,)</f>
        <v/>
      </c>
      <c r="C64" s="44"/>
      <c r="D64" s="44"/>
      <c r="E64" s="44"/>
      <c r="F64" s="44"/>
      <c r="G64" s="44"/>
      <c r="H64" s="44"/>
      <c r="I64" s="44"/>
      <c r="J64" s="44"/>
      <c r="K64" s="44"/>
      <c r="L64" s="44"/>
      <c r="M64" s="12">
        <f>SUM(InnovationProjectResults[[#This Row],[Identify - Define]:[Communicate - Fun (CV)]])</f>
        <v>0</v>
      </c>
      <c r="N64" s="43">
        <f>IF(InnovationProjectResults[[#This Row],[Team Number]]&gt;0,MIN(_xlfn.RANK.EQ(InnovationProjectResults[[#This Row],[Innovation Project Score]],InnovationProjectResults[Innovation Project Score],0),NumberOfTeams),NumberOfTeams+1)</f>
        <v>1</v>
      </c>
    </row>
    <row r="65" spans="1:14" ht="30" customHeight="1" x14ac:dyDescent="0.45">
      <c r="A65" s="12">
        <f>_xlfn.XLOOKUP(64,OfficialTeamList[Row],OfficialTeamList[Team Number],"ERROR",0)</f>
        <v>0</v>
      </c>
      <c r="B65" s="42" t="str">
        <f>_xlfn.XLOOKUP(InnovationProjectResults[[#This Row],[Team Number]],OfficialTeamList[Team Number],OfficialTeamList[Team Name],"",0,)</f>
        <v/>
      </c>
      <c r="C65" s="44"/>
      <c r="D65" s="44"/>
      <c r="E65" s="44"/>
      <c r="F65" s="44"/>
      <c r="G65" s="44"/>
      <c r="H65" s="44"/>
      <c r="I65" s="44"/>
      <c r="J65" s="44"/>
      <c r="K65" s="44"/>
      <c r="L65" s="44"/>
      <c r="M65" s="12">
        <f>SUM(InnovationProjectResults[[#This Row],[Identify - Define]:[Communicate - Fun (CV)]])</f>
        <v>0</v>
      </c>
      <c r="N65" s="43">
        <f>IF(InnovationProjectResults[[#This Row],[Team Number]]&gt;0,MIN(_xlfn.RANK.EQ(InnovationProjectResults[[#This Row],[Innovation Project Score]],InnovationProjectResults[Innovation Project Score],0),NumberOfTeams),NumberOfTeams+1)</f>
        <v>1</v>
      </c>
    </row>
    <row r="66" spans="1:14" ht="30" customHeight="1" x14ac:dyDescent="0.45">
      <c r="A66" s="12">
        <f>_xlfn.XLOOKUP(65,OfficialTeamList[Row],OfficialTeamList[Team Number],"ERROR",0)</f>
        <v>0</v>
      </c>
      <c r="B66" s="42" t="str">
        <f>_xlfn.XLOOKUP(InnovationProjectResults[[#This Row],[Team Number]],OfficialTeamList[Team Number],OfficialTeamList[Team Name],"",0,)</f>
        <v/>
      </c>
      <c r="C66" s="44"/>
      <c r="D66" s="44"/>
      <c r="E66" s="44"/>
      <c r="F66" s="44"/>
      <c r="G66" s="44"/>
      <c r="H66" s="44"/>
      <c r="I66" s="44"/>
      <c r="J66" s="44"/>
      <c r="K66" s="44"/>
      <c r="L66" s="44"/>
      <c r="M66" s="12">
        <f>SUM(InnovationProjectResults[[#This Row],[Identify - Define]:[Communicate - Fun (CV)]])</f>
        <v>0</v>
      </c>
      <c r="N66" s="43">
        <f>IF(InnovationProjectResults[[#This Row],[Team Number]]&gt;0,MIN(_xlfn.RANK.EQ(InnovationProjectResults[[#This Row],[Innovation Project Score]],InnovationProjectResults[Innovation Project Score],0),NumberOfTeams),NumberOfTeams+1)</f>
        <v>1</v>
      </c>
    </row>
    <row r="67" spans="1:14" ht="30" customHeight="1" x14ac:dyDescent="0.45">
      <c r="A67" s="12">
        <f>_xlfn.XLOOKUP(66,OfficialTeamList[Row],OfficialTeamList[Team Number],"ERROR",0)</f>
        <v>0</v>
      </c>
      <c r="B67" s="42" t="str">
        <f>_xlfn.XLOOKUP(InnovationProjectResults[[#This Row],[Team Number]],OfficialTeamList[Team Number],OfficialTeamList[Team Name],"",0,)</f>
        <v/>
      </c>
      <c r="C67" s="44"/>
      <c r="D67" s="44"/>
      <c r="E67" s="44"/>
      <c r="F67" s="44"/>
      <c r="G67" s="44"/>
      <c r="H67" s="44"/>
      <c r="I67" s="44"/>
      <c r="J67" s="44"/>
      <c r="K67" s="44"/>
      <c r="L67" s="44"/>
      <c r="M67" s="12">
        <f>SUM(InnovationProjectResults[[#This Row],[Identify - Define]:[Communicate - Fun (CV)]])</f>
        <v>0</v>
      </c>
      <c r="N67" s="43">
        <f>IF(InnovationProjectResults[[#This Row],[Team Number]]&gt;0,MIN(_xlfn.RANK.EQ(InnovationProjectResults[[#This Row],[Innovation Project Score]],InnovationProjectResults[Innovation Project Score],0),NumberOfTeams),NumberOfTeams+1)</f>
        <v>1</v>
      </c>
    </row>
    <row r="68" spans="1:14" ht="30" customHeight="1" x14ac:dyDescent="0.45">
      <c r="A68" s="12">
        <f>_xlfn.XLOOKUP(67,OfficialTeamList[Row],OfficialTeamList[Team Number],"ERROR",0)</f>
        <v>0</v>
      </c>
      <c r="B68" s="42" t="str">
        <f>_xlfn.XLOOKUP(InnovationProjectResults[[#This Row],[Team Number]],OfficialTeamList[Team Number],OfficialTeamList[Team Name],"",0,)</f>
        <v/>
      </c>
      <c r="C68" s="44"/>
      <c r="D68" s="44"/>
      <c r="E68" s="44"/>
      <c r="F68" s="44"/>
      <c r="G68" s="44"/>
      <c r="H68" s="44"/>
      <c r="I68" s="44"/>
      <c r="J68" s="44"/>
      <c r="K68" s="44"/>
      <c r="L68" s="44"/>
      <c r="M68" s="12">
        <f>SUM(InnovationProjectResults[[#This Row],[Identify - Define]:[Communicate - Fun (CV)]])</f>
        <v>0</v>
      </c>
      <c r="N68" s="43">
        <f>IF(InnovationProjectResults[[#This Row],[Team Number]]&gt;0,MIN(_xlfn.RANK.EQ(InnovationProjectResults[[#This Row],[Innovation Project Score]],InnovationProjectResults[Innovation Project Score],0),NumberOfTeams),NumberOfTeams+1)</f>
        <v>1</v>
      </c>
    </row>
    <row r="69" spans="1:14" ht="30" customHeight="1" x14ac:dyDescent="0.45">
      <c r="A69" s="12">
        <f>_xlfn.XLOOKUP(68,OfficialTeamList[Row],OfficialTeamList[Team Number],"ERROR",0)</f>
        <v>0</v>
      </c>
      <c r="B69" s="42" t="str">
        <f>_xlfn.XLOOKUP(InnovationProjectResults[[#This Row],[Team Number]],OfficialTeamList[Team Number],OfficialTeamList[Team Name],"",0,)</f>
        <v/>
      </c>
      <c r="C69" s="44"/>
      <c r="D69" s="44"/>
      <c r="E69" s="44"/>
      <c r="F69" s="44"/>
      <c r="G69" s="44"/>
      <c r="H69" s="44"/>
      <c r="I69" s="44"/>
      <c r="J69" s="44"/>
      <c r="K69" s="44"/>
      <c r="L69" s="44"/>
      <c r="M69" s="12">
        <f>SUM(InnovationProjectResults[[#This Row],[Identify - Define]:[Communicate - Fun (CV)]])</f>
        <v>0</v>
      </c>
      <c r="N69" s="43">
        <f>IF(InnovationProjectResults[[#This Row],[Team Number]]&gt;0,MIN(_xlfn.RANK.EQ(InnovationProjectResults[[#This Row],[Innovation Project Score]],InnovationProjectResults[Innovation Project Score],0),NumberOfTeams),NumberOfTeams+1)</f>
        <v>1</v>
      </c>
    </row>
    <row r="70" spans="1:14" ht="30" customHeight="1" x14ac:dyDescent="0.45">
      <c r="A70" s="12">
        <f>_xlfn.XLOOKUP(69,OfficialTeamList[Row],OfficialTeamList[Team Number],"ERROR",0)</f>
        <v>0</v>
      </c>
      <c r="B70" s="42" t="str">
        <f>_xlfn.XLOOKUP(InnovationProjectResults[[#This Row],[Team Number]],OfficialTeamList[Team Number],OfficialTeamList[Team Name],"",0,)</f>
        <v/>
      </c>
      <c r="C70" s="44"/>
      <c r="D70" s="44"/>
      <c r="E70" s="44"/>
      <c r="F70" s="44"/>
      <c r="G70" s="44"/>
      <c r="H70" s="44"/>
      <c r="I70" s="44"/>
      <c r="J70" s="44"/>
      <c r="K70" s="44"/>
      <c r="L70" s="44"/>
      <c r="M70" s="12">
        <f>SUM(InnovationProjectResults[[#This Row],[Identify - Define]:[Communicate - Fun (CV)]])</f>
        <v>0</v>
      </c>
      <c r="N70" s="43">
        <f>IF(InnovationProjectResults[[#This Row],[Team Number]]&gt;0,MIN(_xlfn.RANK.EQ(InnovationProjectResults[[#This Row],[Innovation Project Score]],InnovationProjectResults[Innovation Project Score],0),NumberOfTeams),NumberOfTeams+1)</f>
        <v>1</v>
      </c>
    </row>
    <row r="71" spans="1:14" ht="30" customHeight="1" x14ac:dyDescent="0.45">
      <c r="A71" s="12">
        <f>_xlfn.XLOOKUP(70,OfficialTeamList[Row],OfficialTeamList[Team Number],"ERROR",0)</f>
        <v>0</v>
      </c>
      <c r="B71" s="42" t="str">
        <f>_xlfn.XLOOKUP(InnovationProjectResults[[#This Row],[Team Number]],OfficialTeamList[Team Number],OfficialTeamList[Team Name],"",0,)</f>
        <v/>
      </c>
      <c r="C71" s="44"/>
      <c r="D71" s="44"/>
      <c r="E71" s="44"/>
      <c r="F71" s="44"/>
      <c r="G71" s="44"/>
      <c r="H71" s="44"/>
      <c r="I71" s="44"/>
      <c r="J71" s="44"/>
      <c r="K71" s="44"/>
      <c r="L71" s="44"/>
      <c r="M71" s="12">
        <f>SUM(InnovationProjectResults[[#This Row],[Identify - Define]:[Communicate - Fun (CV)]])</f>
        <v>0</v>
      </c>
      <c r="N71" s="43">
        <f>IF(InnovationProjectResults[[#This Row],[Team Number]]&gt;0,MIN(_xlfn.RANK.EQ(InnovationProjectResults[[#This Row],[Innovation Project Score]],InnovationProjectResults[Innovation Project Score],0),NumberOfTeams),NumberOfTeams+1)</f>
        <v>1</v>
      </c>
    </row>
    <row r="72" spans="1:14" ht="30" customHeight="1" x14ac:dyDescent="0.45">
      <c r="A72" s="12">
        <f>_xlfn.XLOOKUP(71,OfficialTeamList[Row],OfficialTeamList[Team Number],"ERROR",0)</f>
        <v>0</v>
      </c>
      <c r="B72" s="42" t="str">
        <f>_xlfn.XLOOKUP(InnovationProjectResults[[#This Row],[Team Number]],OfficialTeamList[Team Number],OfficialTeamList[Team Name],"",0,)</f>
        <v/>
      </c>
      <c r="C72" s="44"/>
      <c r="D72" s="44"/>
      <c r="E72" s="44"/>
      <c r="F72" s="44"/>
      <c r="G72" s="44"/>
      <c r="H72" s="44"/>
      <c r="I72" s="44"/>
      <c r="J72" s="44"/>
      <c r="K72" s="44"/>
      <c r="L72" s="44"/>
      <c r="M72" s="12">
        <f>SUM(InnovationProjectResults[[#This Row],[Identify - Define]:[Communicate - Fun (CV)]])</f>
        <v>0</v>
      </c>
      <c r="N72" s="43">
        <f>IF(InnovationProjectResults[[#This Row],[Team Number]]&gt;0,MIN(_xlfn.RANK.EQ(InnovationProjectResults[[#This Row],[Innovation Project Score]],InnovationProjectResults[Innovation Project Score],0),NumberOfTeams),NumberOfTeams+1)</f>
        <v>1</v>
      </c>
    </row>
    <row r="73" spans="1:14" ht="30" customHeight="1" x14ac:dyDescent="0.45">
      <c r="A73" s="12">
        <f>_xlfn.XLOOKUP(72,OfficialTeamList[Row],OfficialTeamList[Team Number],"ERROR",0)</f>
        <v>0</v>
      </c>
      <c r="B73" s="42" t="str">
        <f>_xlfn.XLOOKUP(InnovationProjectResults[[#This Row],[Team Number]],OfficialTeamList[Team Number],OfficialTeamList[Team Name],"",0,)</f>
        <v/>
      </c>
      <c r="C73" s="44"/>
      <c r="D73" s="44"/>
      <c r="E73" s="44"/>
      <c r="F73" s="44"/>
      <c r="G73" s="44"/>
      <c r="H73" s="44"/>
      <c r="I73" s="44"/>
      <c r="J73" s="44"/>
      <c r="K73" s="44"/>
      <c r="L73" s="44"/>
      <c r="M73" s="12">
        <f>SUM(InnovationProjectResults[[#This Row],[Identify - Define]:[Communicate - Fun (CV)]])</f>
        <v>0</v>
      </c>
      <c r="N73" s="43">
        <f>IF(InnovationProjectResults[[#This Row],[Team Number]]&gt;0,MIN(_xlfn.RANK.EQ(InnovationProjectResults[[#This Row],[Innovation Project Score]],InnovationProjectResults[Innovation Project Score],0),NumberOfTeams),NumberOfTeams+1)</f>
        <v>1</v>
      </c>
    </row>
    <row r="74" spans="1:14" ht="30" customHeight="1" x14ac:dyDescent="0.45">
      <c r="A74" s="12">
        <f>_xlfn.XLOOKUP(73,OfficialTeamList[Row],OfficialTeamList[Team Number],"ERROR",0)</f>
        <v>0</v>
      </c>
      <c r="B74" s="42" t="str">
        <f>_xlfn.XLOOKUP(InnovationProjectResults[[#This Row],[Team Number]],OfficialTeamList[Team Number],OfficialTeamList[Team Name],"",0,)</f>
        <v/>
      </c>
      <c r="C74" s="44"/>
      <c r="D74" s="44"/>
      <c r="E74" s="44"/>
      <c r="F74" s="44"/>
      <c r="G74" s="44"/>
      <c r="H74" s="44"/>
      <c r="I74" s="44"/>
      <c r="J74" s="44"/>
      <c r="K74" s="44"/>
      <c r="L74" s="44"/>
      <c r="M74" s="12">
        <f>SUM(InnovationProjectResults[[#This Row],[Identify - Define]:[Communicate - Fun (CV)]])</f>
        <v>0</v>
      </c>
      <c r="N74" s="43">
        <f>IF(InnovationProjectResults[[#This Row],[Team Number]]&gt;0,MIN(_xlfn.RANK.EQ(InnovationProjectResults[[#This Row],[Innovation Project Score]],InnovationProjectResults[Innovation Project Score],0),NumberOfTeams),NumberOfTeams+1)</f>
        <v>1</v>
      </c>
    </row>
    <row r="75" spans="1:14" ht="30" customHeight="1" x14ac:dyDescent="0.45">
      <c r="A75" s="12">
        <f>_xlfn.XLOOKUP(74,OfficialTeamList[Row],OfficialTeamList[Team Number],"ERROR",0)</f>
        <v>0</v>
      </c>
      <c r="B75" s="42" t="str">
        <f>_xlfn.XLOOKUP(InnovationProjectResults[[#This Row],[Team Number]],OfficialTeamList[Team Number],OfficialTeamList[Team Name],"",0,)</f>
        <v/>
      </c>
      <c r="C75" s="44"/>
      <c r="D75" s="44"/>
      <c r="E75" s="44"/>
      <c r="F75" s="44"/>
      <c r="G75" s="44"/>
      <c r="H75" s="44"/>
      <c r="I75" s="44"/>
      <c r="J75" s="44"/>
      <c r="K75" s="44"/>
      <c r="L75" s="44"/>
      <c r="M75" s="12">
        <f>SUM(InnovationProjectResults[[#This Row],[Identify - Define]:[Communicate - Fun (CV)]])</f>
        <v>0</v>
      </c>
      <c r="N75" s="43">
        <f>IF(InnovationProjectResults[[#This Row],[Team Number]]&gt;0,MIN(_xlfn.RANK.EQ(InnovationProjectResults[[#This Row],[Innovation Project Score]],InnovationProjectResults[Innovation Project Score],0),NumberOfTeams),NumberOfTeams+1)</f>
        <v>1</v>
      </c>
    </row>
    <row r="76" spans="1:14" ht="30" customHeight="1" x14ac:dyDescent="0.45">
      <c r="A76" s="12">
        <f>_xlfn.XLOOKUP(75,OfficialTeamList[Row],OfficialTeamList[Team Number],"ERROR",0)</f>
        <v>0</v>
      </c>
      <c r="B76" s="42" t="str">
        <f>_xlfn.XLOOKUP(InnovationProjectResults[[#This Row],[Team Number]],OfficialTeamList[Team Number],OfficialTeamList[Team Name],"",0,)</f>
        <v/>
      </c>
      <c r="C76" s="44"/>
      <c r="D76" s="44"/>
      <c r="E76" s="44"/>
      <c r="F76" s="44"/>
      <c r="G76" s="44"/>
      <c r="H76" s="44"/>
      <c r="I76" s="44"/>
      <c r="J76" s="44"/>
      <c r="K76" s="44"/>
      <c r="L76" s="44"/>
      <c r="M76" s="12">
        <f>SUM(InnovationProjectResults[[#This Row],[Identify - Define]:[Communicate - Fun (CV)]])</f>
        <v>0</v>
      </c>
      <c r="N76" s="43">
        <f>IF(InnovationProjectResults[[#This Row],[Team Number]]&gt;0,MIN(_xlfn.RANK.EQ(InnovationProjectResults[[#This Row],[Innovation Project Score]],InnovationProjectResults[Innovation Project Score],0),NumberOfTeams),NumberOfTeams+1)</f>
        <v>1</v>
      </c>
    </row>
    <row r="77" spans="1:14" ht="30" customHeight="1" x14ac:dyDescent="0.45">
      <c r="A77" s="12">
        <f>_xlfn.XLOOKUP(76,OfficialTeamList[Row],OfficialTeamList[Team Number],"ERROR",0)</f>
        <v>0</v>
      </c>
      <c r="B77" s="42" t="str">
        <f>_xlfn.XLOOKUP(InnovationProjectResults[[#This Row],[Team Number]],OfficialTeamList[Team Number],OfficialTeamList[Team Name],"",0,)</f>
        <v/>
      </c>
      <c r="C77" s="44"/>
      <c r="D77" s="44"/>
      <c r="E77" s="44"/>
      <c r="F77" s="44"/>
      <c r="G77" s="44"/>
      <c r="H77" s="44"/>
      <c r="I77" s="44"/>
      <c r="J77" s="44"/>
      <c r="K77" s="44"/>
      <c r="L77" s="44"/>
      <c r="M77" s="12">
        <f>SUM(InnovationProjectResults[[#This Row],[Identify - Define]:[Communicate - Fun (CV)]])</f>
        <v>0</v>
      </c>
      <c r="N77" s="43">
        <f>IF(InnovationProjectResults[[#This Row],[Team Number]]&gt;0,MIN(_xlfn.RANK.EQ(InnovationProjectResults[[#This Row],[Innovation Project Score]],InnovationProjectResults[Innovation Project Score],0),NumberOfTeams),NumberOfTeams+1)</f>
        <v>1</v>
      </c>
    </row>
    <row r="78" spans="1:14" ht="30" customHeight="1" x14ac:dyDescent="0.45">
      <c r="A78" s="12">
        <f>_xlfn.XLOOKUP(77,OfficialTeamList[Row],OfficialTeamList[Team Number],"ERROR",0)</f>
        <v>0</v>
      </c>
      <c r="B78" s="42" t="str">
        <f>_xlfn.XLOOKUP(InnovationProjectResults[[#This Row],[Team Number]],OfficialTeamList[Team Number],OfficialTeamList[Team Name],"",0,)</f>
        <v/>
      </c>
      <c r="C78" s="44"/>
      <c r="D78" s="44"/>
      <c r="E78" s="44"/>
      <c r="F78" s="44"/>
      <c r="G78" s="44"/>
      <c r="H78" s="44"/>
      <c r="I78" s="44"/>
      <c r="J78" s="44"/>
      <c r="K78" s="44"/>
      <c r="L78" s="44"/>
      <c r="M78" s="12">
        <f>SUM(InnovationProjectResults[[#This Row],[Identify - Define]:[Communicate - Fun (CV)]])</f>
        <v>0</v>
      </c>
      <c r="N78" s="43">
        <f>IF(InnovationProjectResults[[#This Row],[Team Number]]&gt;0,MIN(_xlfn.RANK.EQ(InnovationProjectResults[[#This Row],[Innovation Project Score]],InnovationProjectResults[Innovation Project Score],0),NumberOfTeams),NumberOfTeams+1)</f>
        <v>1</v>
      </c>
    </row>
    <row r="79" spans="1:14" ht="30" customHeight="1" x14ac:dyDescent="0.45">
      <c r="A79" s="12">
        <f>_xlfn.XLOOKUP(78,OfficialTeamList[Row],OfficialTeamList[Team Number],"ERROR",0)</f>
        <v>0</v>
      </c>
      <c r="B79" s="42" t="str">
        <f>_xlfn.XLOOKUP(InnovationProjectResults[[#This Row],[Team Number]],OfficialTeamList[Team Number],OfficialTeamList[Team Name],"",0,)</f>
        <v/>
      </c>
      <c r="C79" s="44"/>
      <c r="D79" s="44"/>
      <c r="E79" s="44"/>
      <c r="F79" s="44"/>
      <c r="G79" s="44"/>
      <c r="H79" s="44"/>
      <c r="I79" s="44"/>
      <c r="J79" s="44"/>
      <c r="K79" s="44"/>
      <c r="L79" s="44"/>
      <c r="M79" s="12">
        <f>SUM(InnovationProjectResults[[#This Row],[Identify - Define]:[Communicate - Fun (CV)]])</f>
        <v>0</v>
      </c>
      <c r="N79" s="43">
        <f>IF(InnovationProjectResults[[#This Row],[Team Number]]&gt;0,MIN(_xlfn.RANK.EQ(InnovationProjectResults[[#This Row],[Innovation Project Score]],InnovationProjectResults[Innovation Project Score],0),NumberOfTeams),NumberOfTeams+1)</f>
        <v>1</v>
      </c>
    </row>
    <row r="80" spans="1:14" ht="30" customHeight="1" x14ac:dyDescent="0.45">
      <c r="A80" s="12">
        <f>_xlfn.XLOOKUP(79,OfficialTeamList[Row],OfficialTeamList[Team Number],"ERROR",0)</f>
        <v>0</v>
      </c>
      <c r="B80" s="42" t="str">
        <f>_xlfn.XLOOKUP(InnovationProjectResults[[#This Row],[Team Number]],OfficialTeamList[Team Number],OfficialTeamList[Team Name],"",0,)</f>
        <v/>
      </c>
      <c r="C80" s="44"/>
      <c r="D80" s="44"/>
      <c r="E80" s="44"/>
      <c r="F80" s="44"/>
      <c r="G80" s="44"/>
      <c r="H80" s="44"/>
      <c r="I80" s="44"/>
      <c r="J80" s="44"/>
      <c r="K80" s="44"/>
      <c r="L80" s="44"/>
      <c r="M80" s="12">
        <f>SUM(InnovationProjectResults[[#This Row],[Identify - Define]:[Communicate - Fun (CV)]])</f>
        <v>0</v>
      </c>
      <c r="N80" s="43">
        <f>IF(InnovationProjectResults[[#This Row],[Team Number]]&gt;0,MIN(_xlfn.RANK.EQ(InnovationProjectResults[[#This Row],[Innovation Project Score]],InnovationProjectResults[Innovation Project Score],0),NumberOfTeams),NumberOfTeams+1)</f>
        <v>1</v>
      </c>
    </row>
    <row r="81" spans="1:14" ht="30" customHeight="1" x14ac:dyDescent="0.45">
      <c r="A81" s="12">
        <f>_xlfn.XLOOKUP(80,OfficialTeamList[Row],OfficialTeamList[Team Number],"ERROR",0)</f>
        <v>0</v>
      </c>
      <c r="B81" s="42" t="str">
        <f>_xlfn.XLOOKUP(InnovationProjectResults[[#This Row],[Team Number]],OfficialTeamList[Team Number],OfficialTeamList[Team Name],"",0,)</f>
        <v/>
      </c>
      <c r="C81" s="44"/>
      <c r="D81" s="44"/>
      <c r="E81" s="44"/>
      <c r="F81" s="44"/>
      <c r="G81" s="44"/>
      <c r="H81" s="44"/>
      <c r="I81" s="44"/>
      <c r="J81" s="44"/>
      <c r="K81" s="44"/>
      <c r="L81" s="44"/>
      <c r="M81" s="12">
        <f>SUM(InnovationProjectResults[[#This Row],[Identify - Define]:[Communicate - Fun (CV)]])</f>
        <v>0</v>
      </c>
      <c r="N81" s="43">
        <f>IF(InnovationProjectResults[[#This Row],[Team Number]]&gt;0,MIN(_xlfn.RANK.EQ(InnovationProjectResults[[#This Row],[Innovation Project Score]],InnovationProjectResults[Innovation Project Score],0),NumberOfTeams),NumberOfTeams+1)</f>
        <v>1</v>
      </c>
    </row>
    <row r="82" spans="1:14" ht="30" customHeight="1" x14ac:dyDescent="0.45">
      <c r="A82" s="12">
        <f>_xlfn.XLOOKUP(81,OfficialTeamList[Row],OfficialTeamList[Team Number],"ERROR",0)</f>
        <v>0</v>
      </c>
      <c r="B82" s="42" t="str">
        <f>_xlfn.XLOOKUP(InnovationProjectResults[[#This Row],[Team Number]],OfficialTeamList[Team Number],OfficialTeamList[Team Name],"",0,)</f>
        <v/>
      </c>
      <c r="C82" s="44"/>
      <c r="D82" s="44"/>
      <c r="E82" s="44"/>
      <c r="F82" s="44"/>
      <c r="G82" s="44"/>
      <c r="H82" s="44"/>
      <c r="I82" s="44"/>
      <c r="J82" s="44"/>
      <c r="K82" s="44"/>
      <c r="L82" s="44"/>
      <c r="M82" s="12">
        <f>SUM(InnovationProjectResults[[#This Row],[Identify - Define]:[Communicate - Fun (CV)]])</f>
        <v>0</v>
      </c>
      <c r="N82" s="43">
        <f>IF(InnovationProjectResults[[#This Row],[Team Number]]&gt;0,MIN(_xlfn.RANK.EQ(InnovationProjectResults[[#This Row],[Innovation Project Score]],InnovationProjectResults[Innovation Project Score],0),NumberOfTeams),NumberOfTeams+1)</f>
        <v>1</v>
      </c>
    </row>
    <row r="83" spans="1:14" ht="30" customHeight="1" x14ac:dyDescent="0.45">
      <c r="A83" s="12">
        <f>_xlfn.XLOOKUP(82,OfficialTeamList[Row],OfficialTeamList[Team Number],"ERROR",0)</f>
        <v>0</v>
      </c>
      <c r="B83" s="42" t="str">
        <f>_xlfn.XLOOKUP(InnovationProjectResults[[#This Row],[Team Number]],OfficialTeamList[Team Number],OfficialTeamList[Team Name],"",0,)</f>
        <v/>
      </c>
      <c r="C83" s="44"/>
      <c r="D83" s="44"/>
      <c r="E83" s="44"/>
      <c r="F83" s="44"/>
      <c r="G83" s="44"/>
      <c r="H83" s="44"/>
      <c r="I83" s="44"/>
      <c r="J83" s="44"/>
      <c r="K83" s="44"/>
      <c r="L83" s="44"/>
      <c r="M83" s="12">
        <f>SUM(InnovationProjectResults[[#This Row],[Identify - Define]:[Communicate - Fun (CV)]])</f>
        <v>0</v>
      </c>
      <c r="N83" s="43">
        <f>IF(InnovationProjectResults[[#This Row],[Team Number]]&gt;0,MIN(_xlfn.RANK.EQ(InnovationProjectResults[[#This Row],[Innovation Project Score]],InnovationProjectResults[Innovation Project Score],0),NumberOfTeams),NumberOfTeams+1)</f>
        <v>1</v>
      </c>
    </row>
    <row r="84" spans="1:14" ht="30" customHeight="1" x14ac:dyDescent="0.45">
      <c r="A84" s="12">
        <f>_xlfn.XLOOKUP(83,OfficialTeamList[Row],OfficialTeamList[Team Number],"ERROR",0)</f>
        <v>0</v>
      </c>
      <c r="B84" s="42" t="str">
        <f>_xlfn.XLOOKUP(InnovationProjectResults[[#This Row],[Team Number]],OfficialTeamList[Team Number],OfficialTeamList[Team Name],"",0,)</f>
        <v/>
      </c>
      <c r="C84" s="44"/>
      <c r="D84" s="44"/>
      <c r="E84" s="44"/>
      <c r="F84" s="44"/>
      <c r="G84" s="44"/>
      <c r="H84" s="44"/>
      <c r="I84" s="44"/>
      <c r="J84" s="44"/>
      <c r="K84" s="44"/>
      <c r="L84" s="44"/>
      <c r="M84" s="12">
        <f>SUM(InnovationProjectResults[[#This Row],[Identify - Define]:[Communicate - Fun (CV)]])</f>
        <v>0</v>
      </c>
      <c r="N84" s="43">
        <f>IF(InnovationProjectResults[[#This Row],[Team Number]]&gt;0,MIN(_xlfn.RANK.EQ(InnovationProjectResults[[#This Row],[Innovation Project Score]],InnovationProjectResults[Innovation Project Score],0),NumberOfTeams),NumberOfTeams+1)</f>
        <v>1</v>
      </c>
    </row>
    <row r="85" spans="1:14" ht="30" customHeight="1" x14ac:dyDescent="0.45">
      <c r="A85" s="12">
        <f>_xlfn.XLOOKUP(84,OfficialTeamList[Row],OfficialTeamList[Team Number],"ERROR",0)</f>
        <v>0</v>
      </c>
      <c r="B85" s="42" t="str">
        <f>_xlfn.XLOOKUP(InnovationProjectResults[[#This Row],[Team Number]],OfficialTeamList[Team Number],OfficialTeamList[Team Name],"",0,)</f>
        <v/>
      </c>
      <c r="C85" s="44"/>
      <c r="D85" s="44"/>
      <c r="E85" s="44"/>
      <c r="F85" s="44"/>
      <c r="G85" s="44"/>
      <c r="H85" s="44"/>
      <c r="I85" s="44"/>
      <c r="J85" s="44"/>
      <c r="K85" s="44"/>
      <c r="L85" s="44"/>
      <c r="M85" s="12">
        <f>SUM(InnovationProjectResults[[#This Row],[Identify - Define]:[Communicate - Fun (CV)]])</f>
        <v>0</v>
      </c>
      <c r="N85" s="43">
        <f>IF(InnovationProjectResults[[#This Row],[Team Number]]&gt;0,MIN(_xlfn.RANK.EQ(InnovationProjectResults[[#This Row],[Innovation Project Score]],InnovationProjectResults[Innovation Project Score],0),NumberOfTeams),NumberOfTeams+1)</f>
        <v>1</v>
      </c>
    </row>
    <row r="86" spans="1:14" ht="30" customHeight="1" x14ac:dyDescent="0.45">
      <c r="A86" s="12">
        <f>_xlfn.XLOOKUP(85,OfficialTeamList[Row],OfficialTeamList[Team Number],"ERROR",0)</f>
        <v>0</v>
      </c>
      <c r="B86" s="42" t="str">
        <f>_xlfn.XLOOKUP(InnovationProjectResults[[#This Row],[Team Number]],OfficialTeamList[Team Number],OfficialTeamList[Team Name],"",0,)</f>
        <v/>
      </c>
      <c r="C86" s="44"/>
      <c r="D86" s="44"/>
      <c r="E86" s="44"/>
      <c r="F86" s="44"/>
      <c r="G86" s="44"/>
      <c r="H86" s="44"/>
      <c r="I86" s="44"/>
      <c r="J86" s="44"/>
      <c r="K86" s="44"/>
      <c r="L86" s="44"/>
      <c r="M86" s="12">
        <f>SUM(InnovationProjectResults[[#This Row],[Identify - Define]:[Communicate - Fun (CV)]])</f>
        <v>0</v>
      </c>
      <c r="N86" s="43">
        <f>IF(InnovationProjectResults[[#This Row],[Team Number]]&gt;0,MIN(_xlfn.RANK.EQ(InnovationProjectResults[[#This Row],[Innovation Project Score]],InnovationProjectResults[Innovation Project Score],0),NumberOfTeams),NumberOfTeams+1)</f>
        <v>1</v>
      </c>
    </row>
    <row r="87" spans="1:14" ht="30" customHeight="1" x14ac:dyDescent="0.45">
      <c r="A87" s="12">
        <f>_xlfn.XLOOKUP(86,OfficialTeamList[Row],OfficialTeamList[Team Number],"ERROR",0)</f>
        <v>0</v>
      </c>
      <c r="B87" s="42" t="str">
        <f>_xlfn.XLOOKUP(InnovationProjectResults[[#This Row],[Team Number]],OfficialTeamList[Team Number],OfficialTeamList[Team Name],"",0,)</f>
        <v/>
      </c>
      <c r="C87" s="44"/>
      <c r="D87" s="44"/>
      <c r="E87" s="44"/>
      <c r="F87" s="44"/>
      <c r="G87" s="44"/>
      <c r="H87" s="44"/>
      <c r="I87" s="44"/>
      <c r="J87" s="44"/>
      <c r="K87" s="44"/>
      <c r="L87" s="44"/>
      <c r="M87" s="12">
        <f>SUM(InnovationProjectResults[[#This Row],[Identify - Define]:[Communicate - Fun (CV)]])</f>
        <v>0</v>
      </c>
      <c r="N87" s="43">
        <f>IF(InnovationProjectResults[[#This Row],[Team Number]]&gt;0,MIN(_xlfn.RANK.EQ(InnovationProjectResults[[#This Row],[Innovation Project Score]],InnovationProjectResults[Innovation Project Score],0),NumberOfTeams),NumberOfTeams+1)</f>
        <v>1</v>
      </c>
    </row>
    <row r="88" spans="1:14" ht="30" customHeight="1" x14ac:dyDescent="0.45">
      <c r="A88" s="12">
        <f>_xlfn.XLOOKUP(87,OfficialTeamList[Row],OfficialTeamList[Team Number],"ERROR",0)</f>
        <v>0</v>
      </c>
      <c r="B88" s="42" t="str">
        <f>_xlfn.XLOOKUP(InnovationProjectResults[[#This Row],[Team Number]],OfficialTeamList[Team Number],OfficialTeamList[Team Name],"",0,)</f>
        <v/>
      </c>
      <c r="C88" s="44"/>
      <c r="D88" s="44"/>
      <c r="E88" s="44"/>
      <c r="F88" s="44"/>
      <c r="G88" s="44"/>
      <c r="H88" s="44"/>
      <c r="I88" s="44"/>
      <c r="J88" s="44"/>
      <c r="K88" s="44"/>
      <c r="L88" s="44"/>
      <c r="M88" s="12">
        <f>SUM(InnovationProjectResults[[#This Row],[Identify - Define]:[Communicate - Fun (CV)]])</f>
        <v>0</v>
      </c>
      <c r="N88" s="43">
        <f>IF(InnovationProjectResults[[#This Row],[Team Number]]&gt;0,MIN(_xlfn.RANK.EQ(InnovationProjectResults[[#This Row],[Innovation Project Score]],InnovationProjectResults[Innovation Project Score],0),NumberOfTeams),NumberOfTeams+1)</f>
        <v>1</v>
      </c>
    </row>
    <row r="89" spans="1:14" ht="30" customHeight="1" x14ac:dyDescent="0.45">
      <c r="A89" s="12">
        <f>_xlfn.XLOOKUP(88,OfficialTeamList[Row],OfficialTeamList[Team Number],"ERROR",0)</f>
        <v>0</v>
      </c>
      <c r="B89" s="42" t="str">
        <f>_xlfn.XLOOKUP(InnovationProjectResults[[#This Row],[Team Number]],OfficialTeamList[Team Number],OfficialTeamList[Team Name],"",0,)</f>
        <v/>
      </c>
      <c r="C89" s="44"/>
      <c r="D89" s="44"/>
      <c r="E89" s="44"/>
      <c r="F89" s="44"/>
      <c r="G89" s="44"/>
      <c r="H89" s="44"/>
      <c r="I89" s="44"/>
      <c r="J89" s="44"/>
      <c r="K89" s="44"/>
      <c r="L89" s="44"/>
      <c r="M89" s="12">
        <f>SUM(InnovationProjectResults[[#This Row],[Identify - Define]:[Communicate - Fun (CV)]])</f>
        <v>0</v>
      </c>
      <c r="N89" s="43">
        <f>IF(InnovationProjectResults[[#This Row],[Team Number]]&gt;0,MIN(_xlfn.RANK.EQ(InnovationProjectResults[[#This Row],[Innovation Project Score]],InnovationProjectResults[Innovation Project Score],0),NumberOfTeams),NumberOfTeams+1)</f>
        <v>1</v>
      </c>
    </row>
    <row r="90" spans="1:14" ht="30" customHeight="1" x14ac:dyDescent="0.45">
      <c r="A90" s="12">
        <f>_xlfn.XLOOKUP(89,OfficialTeamList[Row],OfficialTeamList[Team Number],"ERROR",0)</f>
        <v>0</v>
      </c>
      <c r="B90" s="42" t="str">
        <f>_xlfn.XLOOKUP(InnovationProjectResults[[#This Row],[Team Number]],OfficialTeamList[Team Number],OfficialTeamList[Team Name],"",0,)</f>
        <v/>
      </c>
      <c r="C90" s="44"/>
      <c r="D90" s="44"/>
      <c r="E90" s="44"/>
      <c r="F90" s="44"/>
      <c r="G90" s="44"/>
      <c r="H90" s="44"/>
      <c r="I90" s="44"/>
      <c r="J90" s="44"/>
      <c r="K90" s="44"/>
      <c r="L90" s="44"/>
      <c r="M90" s="12">
        <f>SUM(InnovationProjectResults[[#This Row],[Identify - Define]:[Communicate - Fun (CV)]])</f>
        <v>0</v>
      </c>
      <c r="N90" s="43">
        <f>IF(InnovationProjectResults[[#This Row],[Team Number]]&gt;0,MIN(_xlfn.RANK.EQ(InnovationProjectResults[[#This Row],[Innovation Project Score]],InnovationProjectResults[Innovation Project Score],0),NumberOfTeams),NumberOfTeams+1)</f>
        <v>1</v>
      </c>
    </row>
    <row r="91" spans="1:14" ht="30" customHeight="1" x14ac:dyDescent="0.45">
      <c r="A91" s="12">
        <f>_xlfn.XLOOKUP(90,OfficialTeamList[Row],OfficialTeamList[Team Number],"ERROR",0)</f>
        <v>0</v>
      </c>
      <c r="B91" s="42" t="str">
        <f>_xlfn.XLOOKUP(InnovationProjectResults[[#This Row],[Team Number]],OfficialTeamList[Team Number],OfficialTeamList[Team Name],"",0,)</f>
        <v/>
      </c>
      <c r="C91" s="44"/>
      <c r="D91" s="44"/>
      <c r="E91" s="44"/>
      <c r="F91" s="44"/>
      <c r="G91" s="44"/>
      <c r="H91" s="44"/>
      <c r="I91" s="44"/>
      <c r="J91" s="44"/>
      <c r="K91" s="44"/>
      <c r="L91" s="44"/>
      <c r="M91" s="12">
        <f>SUM(InnovationProjectResults[[#This Row],[Identify - Define]:[Communicate - Fun (CV)]])</f>
        <v>0</v>
      </c>
      <c r="N91" s="43">
        <f>IF(InnovationProjectResults[[#This Row],[Team Number]]&gt;0,MIN(_xlfn.RANK.EQ(InnovationProjectResults[[#This Row],[Innovation Project Score]],InnovationProjectResults[Innovation Project Score],0),NumberOfTeams),NumberOfTeams+1)</f>
        <v>1</v>
      </c>
    </row>
    <row r="92" spans="1:14" ht="30" customHeight="1" x14ac:dyDescent="0.45">
      <c r="A92" s="12">
        <f>_xlfn.XLOOKUP(91,OfficialTeamList[Row],OfficialTeamList[Team Number],"ERROR",0)</f>
        <v>0</v>
      </c>
      <c r="B92" s="42" t="str">
        <f>_xlfn.XLOOKUP(InnovationProjectResults[[#This Row],[Team Number]],OfficialTeamList[Team Number],OfficialTeamList[Team Name],"",0,)</f>
        <v/>
      </c>
      <c r="C92" s="44"/>
      <c r="D92" s="44"/>
      <c r="E92" s="44"/>
      <c r="F92" s="44"/>
      <c r="G92" s="44"/>
      <c r="H92" s="44"/>
      <c r="I92" s="44"/>
      <c r="J92" s="44"/>
      <c r="K92" s="44"/>
      <c r="L92" s="44"/>
      <c r="M92" s="12">
        <f>SUM(InnovationProjectResults[[#This Row],[Identify - Define]:[Communicate - Fun (CV)]])</f>
        <v>0</v>
      </c>
      <c r="N92" s="43">
        <f>IF(InnovationProjectResults[[#This Row],[Team Number]]&gt;0,MIN(_xlfn.RANK.EQ(InnovationProjectResults[[#This Row],[Innovation Project Score]],InnovationProjectResults[Innovation Project Score],0),NumberOfTeams),NumberOfTeams+1)</f>
        <v>1</v>
      </c>
    </row>
    <row r="93" spans="1:14" ht="30" customHeight="1" x14ac:dyDescent="0.45">
      <c r="A93" s="12">
        <f>_xlfn.XLOOKUP(92,OfficialTeamList[Row],OfficialTeamList[Team Number],"ERROR",0)</f>
        <v>0</v>
      </c>
      <c r="B93" s="42" t="str">
        <f>_xlfn.XLOOKUP(InnovationProjectResults[[#This Row],[Team Number]],OfficialTeamList[Team Number],OfficialTeamList[Team Name],"",0,)</f>
        <v/>
      </c>
      <c r="C93" s="44"/>
      <c r="D93" s="44"/>
      <c r="E93" s="44"/>
      <c r="F93" s="44"/>
      <c r="G93" s="44"/>
      <c r="H93" s="44"/>
      <c r="I93" s="44"/>
      <c r="J93" s="44"/>
      <c r="K93" s="44"/>
      <c r="L93" s="44"/>
      <c r="M93" s="12">
        <f>SUM(InnovationProjectResults[[#This Row],[Identify - Define]:[Communicate - Fun (CV)]])</f>
        <v>0</v>
      </c>
      <c r="N93" s="43">
        <f>IF(InnovationProjectResults[[#This Row],[Team Number]]&gt;0,MIN(_xlfn.RANK.EQ(InnovationProjectResults[[#This Row],[Innovation Project Score]],InnovationProjectResults[Innovation Project Score],0),NumberOfTeams),NumberOfTeams+1)</f>
        <v>1</v>
      </c>
    </row>
    <row r="94" spans="1:14" ht="30" customHeight="1" x14ac:dyDescent="0.45">
      <c r="A94" s="12">
        <f>_xlfn.XLOOKUP(93,OfficialTeamList[Row],OfficialTeamList[Team Number],"ERROR",0)</f>
        <v>0</v>
      </c>
      <c r="B94" s="42" t="str">
        <f>_xlfn.XLOOKUP(InnovationProjectResults[[#This Row],[Team Number]],OfficialTeamList[Team Number],OfficialTeamList[Team Name],"",0,)</f>
        <v/>
      </c>
      <c r="C94" s="44"/>
      <c r="D94" s="44"/>
      <c r="E94" s="44"/>
      <c r="F94" s="44"/>
      <c r="G94" s="44"/>
      <c r="H94" s="44"/>
      <c r="I94" s="44"/>
      <c r="J94" s="44"/>
      <c r="K94" s="44"/>
      <c r="L94" s="44"/>
      <c r="M94" s="12">
        <f>SUM(InnovationProjectResults[[#This Row],[Identify - Define]:[Communicate - Fun (CV)]])</f>
        <v>0</v>
      </c>
      <c r="N94" s="43">
        <f>IF(InnovationProjectResults[[#This Row],[Team Number]]&gt;0,MIN(_xlfn.RANK.EQ(InnovationProjectResults[[#This Row],[Innovation Project Score]],InnovationProjectResults[Innovation Project Score],0),NumberOfTeams),NumberOfTeams+1)</f>
        <v>1</v>
      </c>
    </row>
    <row r="95" spans="1:14" ht="30" customHeight="1" x14ac:dyDescent="0.45">
      <c r="A95" s="12">
        <f>_xlfn.XLOOKUP(94,OfficialTeamList[Row],OfficialTeamList[Team Number],"ERROR",0)</f>
        <v>0</v>
      </c>
      <c r="B95" s="42" t="str">
        <f>_xlfn.XLOOKUP(InnovationProjectResults[[#This Row],[Team Number]],OfficialTeamList[Team Number],OfficialTeamList[Team Name],"",0,)</f>
        <v/>
      </c>
      <c r="C95" s="44"/>
      <c r="D95" s="44"/>
      <c r="E95" s="44"/>
      <c r="F95" s="44"/>
      <c r="G95" s="44"/>
      <c r="H95" s="44"/>
      <c r="I95" s="44"/>
      <c r="J95" s="44"/>
      <c r="K95" s="44"/>
      <c r="L95" s="44"/>
      <c r="M95" s="12">
        <f>SUM(InnovationProjectResults[[#This Row],[Identify - Define]:[Communicate - Fun (CV)]])</f>
        <v>0</v>
      </c>
      <c r="N95" s="43">
        <f>IF(InnovationProjectResults[[#This Row],[Team Number]]&gt;0,MIN(_xlfn.RANK.EQ(InnovationProjectResults[[#This Row],[Innovation Project Score]],InnovationProjectResults[Innovation Project Score],0),NumberOfTeams),NumberOfTeams+1)</f>
        <v>1</v>
      </c>
    </row>
    <row r="96" spans="1:14" ht="30" customHeight="1" x14ac:dyDescent="0.45">
      <c r="A96" s="12">
        <f>_xlfn.XLOOKUP(95,OfficialTeamList[Row],OfficialTeamList[Team Number],"ERROR",0)</f>
        <v>0</v>
      </c>
      <c r="B96" s="42" t="str">
        <f>_xlfn.XLOOKUP(InnovationProjectResults[[#This Row],[Team Number]],OfficialTeamList[Team Number],OfficialTeamList[Team Name],"",0,)</f>
        <v/>
      </c>
      <c r="C96" s="44"/>
      <c r="D96" s="44"/>
      <c r="E96" s="44"/>
      <c r="F96" s="44"/>
      <c r="G96" s="44"/>
      <c r="H96" s="44"/>
      <c r="I96" s="44"/>
      <c r="J96" s="44"/>
      <c r="K96" s="44"/>
      <c r="L96" s="44"/>
      <c r="M96" s="12">
        <f>SUM(InnovationProjectResults[[#This Row],[Identify - Define]:[Communicate - Fun (CV)]])</f>
        <v>0</v>
      </c>
      <c r="N96" s="43">
        <f>IF(InnovationProjectResults[[#This Row],[Team Number]]&gt;0,MIN(_xlfn.RANK.EQ(InnovationProjectResults[[#This Row],[Innovation Project Score]],InnovationProjectResults[Innovation Project Score],0),NumberOfTeams),NumberOfTeams+1)</f>
        <v>1</v>
      </c>
    </row>
    <row r="97" spans="1:14" ht="30" customHeight="1" x14ac:dyDescent="0.45">
      <c r="A97" s="12">
        <f>_xlfn.XLOOKUP(96,OfficialTeamList[Row],OfficialTeamList[Team Number],"ERROR",0)</f>
        <v>0</v>
      </c>
      <c r="B97" s="42" t="str">
        <f>_xlfn.XLOOKUP(InnovationProjectResults[[#This Row],[Team Number]],OfficialTeamList[Team Number],OfficialTeamList[Team Name],"",0,)</f>
        <v/>
      </c>
      <c r="C97" s="44"/>
      <c r="D97" s="44"/>
      <c r="E97" s="44"/>
      <c r="F97" s="44"/>
      <c r="G97" s="44"/>
      <c r="H97" s="44"/>
      <c r="I97" s="44"/>
      <c r="J97" s="44"/>
      <c r="K97" s="44"/>
      <c r="L97" s="44"/>
      <c r="M97" s="12">
        <f>SUM(InnovationProjectResults[[#This Row],[Identify - Define]:[Communicate - Fun (CV)]])</f>
        <v>0</v>
      </c>
      <c r="N97" s="43">
        <f>IF(InnovationProjectResults[[#This Row],[Team Number]]&gt;0,MIN(_xlfn.RANK.EQ(InnovationProjectResults[[#This Row],[Innovation Project Score]],InnovationProjectResults[Innovation Project Score],0),NumberOfTeams),NumberOfTeams+1)</f>
        <v>1</v>
      </c>
    </row>
    <row r="98" spans="1:14" ht="30" customHeight="1" x14ac:dyDescent="0.45">
      <c r="A98" s="12">
        <f>_xlfn.XLOOKUP(97,OfficialTeamList[Row],OfficialTeamList[Team Number],"ERROR",0)</f>
        <v>0</v>
      </c>
      <c r="B98" s="42" t="str">
        <f>_xlfn.XLOOKUP(InnovationProjectResults[[#This Row],[Team Number]],OfficialTeamList[Team Number],OfficialTeamList[Team Name],"",0,)</f>
        <v/>
      </c>
      <c r="C98" s="44"/>
      <c r="D98" s="44"/>
      <c r="E98" s="44"/>
      <c r="F98" s="44"/>
      <c r="G98" s="44"/>
      <c r="H98" s="44"/>
      <c r="I98" s="44"/>
      <c r="J98" s="44"/>
      <c r="K98" s="44"/>
      <c r="L98" s="44"/>
      <c r="M98" s="12">
        <f>SUM(InnovationProjectResults[[#This Row],[Identify - Define]:[Communicate - Fun (CV)]])</f>
        <v>0</v>
      </c>
      <c r="N98" s="43">
        <f>IF(InnovationProjectResults[[#This Row],[Team Number]]&gt;0,MIN(_xlfn.RANK.EQ(InnovationProjectResults[[#This Row],[Innovation Project Score]],InnovationProjectResults[Innovation Project Score],0),NumberOfTeams),NumberOfTeams+1)</f>
        <v>1</v>
      </c>
    </row>
    <row r="99" spans="1:14" ht="30" customHeight="1" x14ac:dyDescent="0.45">
      <c r="A99" s="12">
        <f>_xlfn.XLOOKUP(98,OfficialTeamList[Row],OfficialTeamList[Team Number],"ERROR",0)</f>
        <v>0</v>
      </c>
      <c r="B99" s="42" t="str">
        <f>_xlfn.XLOOKUP(InnovationProjectResults[[#This Row],[Team Number]],OfficialTeamList[Team Number],OfficialTeamList[Team Name],"",0,)</f>
        <v/>
      </c>
      <c r="C99" s="44"/>
      <c r="D99" s="44"/>
      <c r="E99" s="44"/>
      <c r="F99" s="44"/>
      <c r="G99" s="44"/>
      <c r="H99" s="44"/>
      <c r="I99" s="44"/>
      <c r="J99" s="44"/>
      <c r="K99" s="44"/>
      <c r="L99" s="44"/>
      <c r="M99" s="12">
        <f>SUM(InnovationProjectResults[[#This Row],[Identify - Define]:[Communicate - Fun (CV)]])</f>
        <v>0</v>
      </c>
      <c r="N99" s="43">
        <f>IF(InnovationProjectResults[[#This Row],[Team Number]]&gt;0,MIN(_xlfn.RANK.EQ(InnovationProjectResults[[#This Row],[Innovation Project Score]],InnovationProjectResults[Innovation Project Score],0),NumberOfTeams),NumberOfTeams+1)</f>
        <v>1</v>
      </c>
    </row>
    <row r="100" spans="1:14" ht="30" customHeight="1" x14ac:dyDescent="0.45">
      <c r="A100" s="12">
        <f>_xlfn.XLOOKUP(99,OfficialTeamList[Row],OfficialTeamList[Team Number],"ERROR",0)</f>
        <v>0</v>
      </c>
      <c r="B100" s="42" t="str">
        <f>_xlfn.XLOOKUP(InnovationProjectResults[[#This Row],[Team Number]],OfficialTeamList[Team Number],OfficialTeamList[Team Name],"",0,)</f>
        <v/>
      </c>
      <c r="C100" s="44"/>
      <c r="D100" s="44"/>
      <c r="E100" s="44"/>
      <c r="F100" s="44"/>
      <c r="G100" s="44"/>
      <c r="H100" s="44"/>
      <c r="I100" s="44"/>
      <c r="J100" s="44"/>
      <c r="K100" s="44"/>
      <c r="L100" s="44"/>
      <c r="M100" s="12">
        <f>SUM(InnovationProjectResults[[#This Row],[Identify - Define]:[Communicate - Fun (CV)]])</f>
        <v>0</v>
      </c>
      <c r="N100" s="43">
        <f>IF(InnovationProjectResults[[#This Row],[Team Number]]&gt;0,MIN(_xlfn.RANK.EQ(InnovationProjectResults[[#This Row],[Innovation Project Score]],InnovationProjectResults[Innovation Project Score],0),NumberOfTeams),NumberOfTeams+1)</f>
        <v>1</v>
      </c>
    </row>
    <row r="101" spans="1:14" ht="30" customHeight="1" x14ac:dyDescent="0.45">
      <c r="A101" s="12">
        <f>_xlfn.XLOOKUP(100,OfficialTeamList[Row],OfficialTeamList[Team Number],"ERROR",0)</f>
        <v>0</v>
      </c>
      <c r="B101" s="42" t="str">
        <f>_xlfn.XLOOKUP(InnovationProjectResults[[#This Row],[Team Number]],OfficialTeamList[Team Number],OfficialTeamList[Team Name],"",0,)</f>
        <v/>
      </c>
      <c r="C101" s="44"/>
      <c r="D101" s="44"/>
      <c r="E101" s="44"/>
      <c r="F101" s="44"/>
      <c r="G101" s="44"/>
      <c r="H101" s="44"/>
      <c r="I101" s="44"/>
      <c r="J101" s="44"/>
      <c r="K101" s="44"/>
      <c r="L101" s="44"/>
      <c r="M101" s="12">
        <f>SUM(InnovationProjectResults[[#This Row],[Identify - Define]:[Communicate - Fun (CV)]])</f>
        <v>0</v>
      </c>
      <c r="N101" s="43">
        <f>IF(InnovationProjectResults[[#This Row],[Team Number]]&gt;0,MIN(_xlfn.RANK.EQ(InnovationProjectResults[[#This Row],[Innovation Project Score]],InnovationProjectResults[Innovation Project Score],0),NumberOfTeams),NumberOfTeams+1)</f>
        <v>1</v>
      </c>
    </row>
    <row r="102" spans="1:14" ht="30" customHeight="1" x14ac:dyDescent="0.45">
      <c r="A102" s="12">
        <f>_xlfn.XLOOKUP(101,OfficialTeamList[Row],OfficialTeamList[Team Number],"ERROR",0)</f>
        <v>0</v>
      </c>
      <c r="B102" s="42" t="str">
        <f>_xlfn.XLOOKUP(InnovationProjectResults[[#This Row],[Team Number]],OfficialTeamList[Team Number],OfficialTeamList[Team Name],"",0,)</f>
        <v/>
      </c>
      <c r="C102" s="44"/>
      <c r="D102" s="44"/>
      <c r="E102" s="44"/>
      <c r="F102" s="44"/>
      <c r="G102" s="44"/>
      <c r="H102" s="44"/>
      <c r="I102" s="44"/>
      <c r="J102" s="44"/>
      <c r="K102" s="44"/>
      <c r="L102" s="44"/>
      <c r="M102" s="12">
        <f>SUM(InnovationProjectResults[[#This Row],[Identify - Define]:[Communicate - Fun (CV)]])</f>
        <v>0</v>
      </c>
      <c r="N102" s="43">
        <f>IF(InnovationProjectResults[[#This Row],[Team Number]]&gt;0,MIN(_xlfn.RANK.EQ(InnovationProjectResults[[#This Row],[Innovation Project Score]],InnovationProjectResults[Innovation Project Score],0),NumberOfTeams),NumberOfTeams+1)</f>
        <v>1</v>
      </c>
    </row>
    <row r="103" spans="1:14" ht="30" customHeight="1" x14ac:dyDescent="0.45">
      <c r="A103" s="12">
        <f>_xlfn.XLOOKUP(102,OfficialTeamList[Row],OfficialTeamList[Team Number],"ERROR",0)</f>
        <v>0</v>
      </c>
      <c r="B103" s="42" t="str">
        <f>_xlfn.XLOOKUP(InnovationProjectResults[[#This Row],[Team Number]],OfficialTeamList[Team Number],OfficialTeamList[Team Name],"",0,)</f>
        <v/>
      </c>
      <c r="C103" s="44"/>
      <c r="D103" s="44"/>
      <c r="E103" s="44"/>
      <c r="F103" s="44"/>
      <c r="G103" s="44"/>
      <c r="H103" s="44"/>
      <c r="I103" s="44"/>
      <c r="J103" s="44"/>
      <c r="K103" s="44"/>
      <c r="L103" s="44"/>
      <c r="M103" s="12">
        <f>SUM(InnovationProjectResults[[#This Row],[Identify - Define]:[Communicate - Fun (CV)]])</f>
        <v>0</v>
      </c>
      <c r="N103" s="43">
        <f>IF(InnovationProjectResults[[#This Row],[Team Number]]&gt;0,MIN(_xlfn.RANK.EQ(InnovationProjectResults[[#This Row],[Innovation Project Score]],InnovationProjectResults[Innovation Project Score],0),NumberOfTeams),NumberOfTeams+1)</f>
        <v>1</v>
      </c>
    </row>
    <row r="104" spans="1:14" ht="30" customHeight="1" x14ac:dyDescent="0.45">
      <c r="A104" s="12">
        <f>_xlfn.XLOOKUP(103,OfficialTeamList[Row],OfficialTeamList[Team Number],"ERROR",0)</f>
        <v>0</v>
      </c>
      <c r="B104" s="42" t="str">
        <f>_xlfn.XLOOKUP(InnovationProjectResults[[#This Row],[Team Number]],OfficialTeamList[Team Number],OfficialTeamList[Team Name],"",0,)</f>
        <v/>
      </c>
      <c r="C104" s="44"/>
      <c r="D104" s="44"/>
      <c r="E104" s="44"/>
      <c r="F104" s="44"/>
      <c r="G104" s="44"/>
      <c r="H104" s="44"/>
      <c r="I104" s="44"/>
      <c r="J104" s="44"/>
      <c r="K104" s="44"/>
      <c r="L104" s="44"/>
      <c r="M104" s="12">
        <f>SUM(InnovationProjectResults[[#This Row],[Identify - Define]:[Communicate - Fun (CV)]])</f>
        <v>0</v>
      </c>
      <c r="N104" s="43">
        <f>IF(InnovationProjectResults[[#This Row],[Team Number]]&gt;0,MIN(_xlfn.RANK.EQ(InnovationProjectResults[[#This Row],[Innovation Project Score]],InnovationProjectResults[Innovation Project Score],0),NumberOfTeams),NumberOfTeams+1)</f>
        <v>1</v>
      </c>
    </row>
    <row r="105" spans="1:14" ht="30" customHeight="1" x14ac:dyDescent="0.45">
      <c r="A105" s="12">
        <f>_xlfn.XLOOKUP(104,OfficialTeamList[Row],OfficialTeamList[Team Number],"ERROR",0)</f>
        <v>0</v>
      </c>
      <c r="B105" s="42" t="str">
        <f>_xlfn.XLOOKUP(InnovationProjectResults[[#This Row],[Team Number]],OfficialTeamList[Team Number],OfficialTeamList[Team Name],"",0,)</f>
        <v/>
      </c>
      <c r="C105" s="44"/>
      <c r="D105" s="44"/>
      <c r="E105" s="44"/>
      <c r="F105" s="44"/>
      <c r="G105" s="44"/>
      <c r="H105" s="44"/>
      <c r="I105" s="44"/>
      <c r="J105" s="44"/>
      <c r="K105" s="44"/>
      <c r="L105" s="44"/>
      <c r="M105" s="12">
        <f>SUM(InnovationProjectResults[[#This Row],[Identify - Define]:[Communicate - Fun (CV)]])</f>
        <v>0</v>
      </c>
      <c r="N105" s="43">
        <f>IF(InnovationProjectResults[[#This Row],[Team Number]]&gt;0,MIN(_xlfn.RANK.EQ(InnovationProjectResults[[#This Row],[Innovation Project Score]],InnovationProjectResults[Innovation Project Score],0),NumberOfTeams),NumberOfTeams+1)</f>
        <v>1</v>
      </c>
    </row>
    <row r="106" spans="1:14" ht="30" customHeight="1" x14ac:dyDescent="0.45">
      <c r="A106" s="12">
        <f>_xlfn.XLOOKUP(105,OfficialTeamList[Row],OfficialTeamList[Team Number],"ERROR",0)</f>
        <v>0</v>
      </c>
      <c r="B106" s="42" t="str">
        <f>_xlfn.XLOOKUP(InnovationProjectResults[[#This Row],[Team Number]],OfficialTeamList[Team Number],OfficialTeamList[Team Name],"",0,)</f>
        <v/>
      </c>
      <c r="C106" s="44"/>
      <c r="D106" s="44"/>
      <c r="E106" s="44"/>
      <c r="F106" s="44"/>
      <c r="G106" s="44"/>
      <c r="H106" s="44"/>
      <c r="I106" s="44"/>
      <c r="J106" s="44"/>
      <c r="K106" s="44"/>
      <c r="L106" s="44"/>
      <c r="M106" s="12">
        <f>SUM(InnovationProjectResults[[#This Row],[Identify - Define]:[Communicate - Fun (CV)]])</f>
        <v>0</v>
      </c>
      <c r="N106" s="43">
        <f>IF(InnovationProjectResults[[#This Row],[Team Number]]&gt;0,MIN(_xlfn.RANK.EQ(InnovationProjectResults[[#This Row],[Innovation Project Score]],InnovationProjectResults[Innovation Project Score],0),NumberOfTeams),NumberOfTeams+1)</f>
        <v>1</v>
      </c>
    </row>
    <row r="107" spans="1:14" ht="30" customHeight="1" x14ac:dyDescent="0.45">
      <c r="A107" s="12">
        <f>_xlfn.XLOOKUP(106,OfficialTeamList[Row],OfficialTeamList[Team Number],"ERROR",0)</f>
        <v>0</v>
      </c>
      <c r="B107" s="42" t="str">
        <f>_xlfn.XLOOKUP(InnovationProjectResults[[#This Row],[Team Number]],OfficialTeamList[Team Number],OfficialTeamList[Team Name],"",0,)</f>
        <v/>
      </c>
      <c r="C107" s="44"/>
      <c r="D107" s="44"/>
      <c r="E107" s="44"/>
      <c r="F107" s="44"/>
      <c r="G107" s="44"/>
      <c r="H107" s="44"/>
      <c r="I107" s="44"/>
      <c r="J107" s="44"/>
      <c r="K107" s="44"/>
      <c r="L107" s="44"/>
      <c r="M107" s="12">
        <f>SUM(InnovationProjectResults[[#This Row],[Identify - Define]:[Communicate - Fun (CV)]])</f>
        <v>0</v>
      </c>
      <c r="N107" s="43">
        <f>IF(InnovationProjectResults[[#This Row],[Team Number]]&gt;0,MIN(_xlfn.RANK.EQ(InnovationProjectResults[[#This Row],[Innovation Project Score]],InnovationProjectResults[Innovation Project Score],0),NumberOfTeams),NumberOfTeams+1)</f>
        <v>1</v>
      </c>
    </row>
    <row r="108" spans="1:14" ht="30" customHeight="1" x14ac:dyDescent="0.45">
      <c r="A108" s="12">
        <f>_xlfn.XLOOKUP(107,OfficialTeamList[Row],OfficialTeamList[Team Number],"ERROR",0)</f>
        <v>0</v>
      </c>
      <c r="B108" s="42" t="str">
        <f>_xlfn.XLOOKUP(InnovationProjectResults[[#This Row],[Team Number]],OfficialTeamList[Team Number],OfficialTeamList[Team Name],"",0,)</f>
        <v/>
      </c>
      <c r="C108" s="44"/>
      <c r="D108" s="44"/>
      <c r="E108" s="44"/>
      <c r="F108" s="44"/>
      <c r="G108" s="44"/>
      <c r="H108" s="44"/>
      <c r="I108" s="44"/>
      <c r="J108" s="44"/>
      <c r="K108" s="44"/>
      <c r="L108" s="44"/>
      <c r="M108" s="12">
        <f>SUM(InnovationProjectResults[[#This Row],[Identify - Define]:[Communicate - Fun (CV)]])</f>
        <v>0</v>
      </c>
      <c r="N108" s="43">
        <f>IF(InnovationProjectResults[[#This Row],[Team Number]]&gt;0,MIN(_xlfn.RANK.EQ(InnovationProjectResults[[#This Row],[Innovation Project Score]],InnovationProjectResults[Innovation Project Score],0),NumberOfTeams),NumberOfTeams+1)</f>
        <v>1</v>
      </c>
    </row>
    <row r="109" spans="1:14" ht="30" customHeight="1" x14ac:dyDescent="0.45">
      <c r="A109" s="12">
        <f>_xlfn.XLOOKUP(108,OfficialTeamList[Row],OfficialTeamList[Team Number],"ERROR",0)</f>
        <v>0</v>
      </c>
      <c r="B109" s="42" t="str">
        <f>_xlfn.XLOOKUP(InnovationProjectResults[[#This Row],[Team Number]],OfficialTeamList[Team Number],OfficialTeamList[Team Name],"",0,)</f>
        <v/>
      </c>
      <c r="C109" s="44"/>
      <c r="D109" s="44"/>
      <c r="E109" s="44"/>
      <c r="F109" s="44"/>
      <c r="G109" s="44"/>
      <c r="H109" s="44"/>
      <c r="I109" s="44"/>
      <c r="J109" s="44"/>
      <c r="K109" s="44"/>
      <c r="L109" s="44"/>
      <c r="M109" s="12">
        <f>SUM(InnovationProjectResults[[#This Row],[Identify - Define]:[Communicate - Fun (CV)]])</f>
        <v>0</v>
      </c>
      <c r="N109" s="43">
        <f>IF(InnovationProjectResults[[#This Row],[Team Number]]&gt;0,MIN(_xlfn.RANK.EQ(InnovationProjectResults[[#This Row],[Innovation Project Score]],InnovationProjectResults[Innovation Project Score],0),NumberOfTeams),NumberOfTeams+1)</f>
        <v>1</v>
      </c>
    </row>
    <row r="110" spans="1:14" ht="30" customHeight="1" x14ac:dyDescent="0.45">
      <c r="A110" s="12">
        <f>_xlfn.XLOOKUP(109,OfficialTeamList[Row],OfficialTeamList[Team Number],"ERROR",0)</f>
        <v>0</v>
      </c>
      <c r="B110" s="42" t="str">
        <f>_xlfn.XLOOKUP(InnovationProjectResults[[#This Row],[Team Number]],OfficialTeamList[Team Number],OfficialTeamList[Team Name],"",0,)</f>
        <v/>
      </c>
      <c r="C110" s="44"/>
      <c r="D110" s="44"/>
      <c r="E110" s="44"/>
      <c r="F110" s="44"/>
      <c r="G110" s="44"/>
      <c r="H110" s="44"/>
      <c r="I110" s="44"/>
      <c r="J110" s="44"/>
      <c r="K110" s="44"/>
      <c r="L110" s="44"/>
      <c r="M110" s="12">
        <f>SUM(InnovationProjectResults[[#This Row],[Identify - Define]:[Communicate - Fun (CV)]])</f>
        <v>0</v>
      </c>
      <c r="N110" s="43">
        <f>IF(InnovationProjectResults[[#This Row],[Team Number]]&gt;0,MIN(_xlfn.RANK.EQ(InnovationProjectResults[[#This Row],[Innovation Project Score]],InnovationProjectResults[Innovation Project Score],0),NumberOfTeams),NumberOfTeams+1)</f>
        <v>1</v>
      </c>
    </row>
    <row r="111" spans="1:14" ht="30" customHeight="1" x14ac:dyDescent="0.45">
      <c r="A111" s="12">
        <f>_xlfn.XLOOKUP(110,OfficialTeamList[Row],OfficialTeamList[Team Number],"ERROR",0)</f>
        <v>0</v>
      </c>
      <c r="B111" s="42" t="str">
        <f>_xlfn.XLOOKUP(InnovationProjectResults[[#This Row],[Team Number]],OfficialTeamList[Team Number],OfficialTeamList[Team Name],"",0,)</f>
        <v/>
      </c>
      <c r="C111" s="44"/>
      <c r="D111" s="44"/>
      <c r="E111" s="44"/>
      <c r="F111" s="44"/>
      <c r="G111" s="44"/>
      <c r="H111" s="44"/>
      <c r="I111" s="44"/>
      <c r="J111" s="44"/>
      <c r="K111" s="44"/>
      <c r="L111" s="44"/>
      <c r="M111" s="12">
        <f>SUM(InnovationProjectResults[[#This Row],[Identify - Define]:[Communicate - Fun (CV)]])</f>
        <v>0</v>
      </c>
      <c r="N111" s="43">
        <f>IF(InnovationProjectResults[[#This Row],[Team Number]]&gt;0,MIN(_xlfn.RANK.EQ(InnovationProjectResults[[#This Row],[Innovation Project Score]],InnovationProjectResults[Innovation Project Score],0),NumberOfTeams),NumberOfTeams+1)</f>
        <v>1</v>
      </c>
    </row>
    <row r="112" spans="1:14" ht="30" customHeight="1" x14ac:dyDescent="0.45">
      <c r="A112" s="12">
        <f>_xlfn.XLOOKUP(111,OfficialTeamList[Row],OfficialTeamList[Team Number],"ERROR",0)</f>
        <v>0</v>
      </c>
      <c r="B112" s="42" t="str">
        <f>_xlfn.XLOOKUP(InnovationProjectResults[[#This Row],[Team Number]],OfficialTeamList[Team Number],OfficialTeamList[Team Name],"",0,)</f>
        <v/>
      </c>
      <c r="C112" s="44"/>
      <c r="D112" s="44"/>
      <c r="E112" s="44"/>
      <c r="F112" s="44"/>
      <c r="G112" s="44"/>
      <c r="H112" s="44"/>
      <c r="I112" s="44"/>
      <c r="J112" s="44"/>
      <c r="K112" s="44"/>
      <c r="L112" s="44"/>
      <c r="M112" s="12">
        <f>SUM(InnovationProjectResults[[#This Row],[Identify - Define]:[Communicate - Fun (CV)]])</f>
        <v>0</v>
      </c>
      <c r="N112" s="43">
        <f>IF(InnovationProjectResults[[#This Row],[Team Number]]&gt;0,MIN(_xlfn.RANK.EQ(InnovationProjectResults[[#This Row],[Innovation Project Score]],InnovationProjectResults[Innovation Project Score],0),NumberOfTeams),NumberOfTeams+1)</f>
        <v>1</v>
      </c>
    </row>
    <row r="113" spans="1:14" ht="30" customHeight="1" x14ac:dyDescent="0.45">
      <c r="A113" s="12">
        <f>_xlfn.XLOOKUP(112,OfficialTeamList[Row],OfficialTeamList[Team Number],"ERROR",0)</f>
        <v>0</v>
      </c>
      <c r="B113" s="42" t="str">
        <f>_xlfn.XLOOKUP(InnovationProjectResults[[#This Row],[Team Number]],OfficialTeamList[Team Number],OfficialTeamList[Team Name],"",0,)</f>
        <v/>
      </c>
      <c r="C113" s="44"/>
      <c r="D113" s="44"/>
      <c r="E113" s="44"/>
      <c r="F113" s="44"/>
      <c r="G113" s="44"/>
      <c r="H113" s="44"/>
      <c r="I113" s="44"/>
      <c r="J113" s="44"/>
      <c r="K113" s="44"/>
      <c r="L113" s="44"/>
      <c r="M113" s="12">
        <f>SUM(InnovationProjectResults[[#This Row],[Identify - Define]:[Communicate - Fun (CV)]])</f>
        <v>0</v>
      </c>
      <c r="N113" s="43">
        <f>IF(InnovationProjectResults[[#This Row],[Team Number]]&gt;0,MIN(_xlfn.RANK.EQ(InnovationProjectResults[[#This Row],[Innovation Project Score]],InnovationProjectResults[Innovation Project Score],0),NumberOfTeams),NumberOfTeams+1)</f>
        <v>1</v>
      </c>
    </row>
    <row r="114" spans="1:14" ht="30" customHeight="1" x14ac:dyDescent="0.45">
      <c r="A114" s="12">
        <f>_xlfn.XLOOKUP(113,OfficialTeamList[Row],OfficialTeamList[Team Number],"ERROR",0)</f>
        <v>0</v>
      </c>
      <c r="B114" s="42" t="str">
        <f>_xlfn.XLOOKUP(InnovationProjectResults[[#This Row],[Team Number]],OfficialTeamList[Team Number],OfficialTeamList[Team Name],"",0,)</f>
        <v/>
      </c>
      <c r="C114" s="44"/>
      <c r="D114" s="44"/>
      <c r="E114" s="44"/>
      <c r="F114" s="44"/>
      <c r="G114" s="44"/>
      <c r="H114" s="44"/>
      <c r="I114" s="44"/>
      <c r="J114" s="44"/>
      <c r="K114" s="44"/>
      <c r="L114" s="44"/>
      <c r="M114" s="12">
        <f>SUM(InnovationProjectResults[[#This Row],[Identify - Define]:[Communicate - Fun (CV)]])</f>
        <v>0</v>
      </c>
      <c r="N114" s="43">
        <f>IF(InnovationProjectResults[[#This Row],[Team Number]]&gt;0,MIN(_xlfn.RANK.EQ(InnovationProjectResults[[#This Row],[Innovation Project Score]],InnovationProjectResults[Innovation Project Score],0),NumberOfTeams),NumberOfTeams+1)</f>
        <v>1</v>
      </c>
    </row>
    <row r="115" spans="1:14" ht="30" customHeight="1" x14ac:dyDescent="0.45">
      <c r="A115" s="12">
        <f>_xlfn.XLOOKUP(114,OfficialTeamList[Row],OfficialTeamList[Team Number],"ERROR",0)</f>
        <v>0</v>
      </c>
      <c r="B115" s="42" t="str">
        <f>_xlfn.XLOOKUP(InnovationProjectResults[[#This Row],[Team Number]],OfficialTeamList[Team Number],OfficialTeamList[Team Name],"",0,)</f>
        <v/>
      </c>
      <c r="C115" s="44"/>
      <c r="D115" s="44"/>
      <c r="E115" s="44"/>
      <c r="F115" s="44"/>
      <c r="G115" s="44"/>
      <c r="H115" s="44"/>
      <c r="I115" s="44"/>
      <c r="J115" s="44"/>
      <c r="K115" s="44"/>
      <c r="L115" s="44"/>
      <c r="M115" s="12">
        <f>SUM(InnovationProjectResults[[#This Row],[Identify - Define]:[Communicate - Fun (CV)]])</f>
        <v>0</v>
      </c>
      <c r="N115" s="43">
        <f>IF(InnovationProjectResults[[#This Row],[Team Number]]&gt;0,MIN(_xlfn.RANK.EQ(InnovationProjectResults[[#This Row],[Innovation Project Score]],InnovationProjectResults[Innovation Project Score],0),NumberOfTeams),NumberOfTeams+1)</f>
        <v>1</v>
      </c>
    </row>
    <row r="116" spans="1:14" ht="30" customHeight="1" x14ac:dyDescent="0.45">
      <c r="A116" s="12">
        <f>_xlfn.XLOOKUP(115,OfficialTeamList[Row],OfficialTeamList[Team Number],"ERROR",0)</f>
        <v>0</v>
      </c>
      <c r="B116" s="42" t="str">
        <f>_xlfn.XLOOKUP(InnovationProjectResults[[#This Row],[Team Number]],OfficialTeamList[Team Number],OfficialTeamList[Team Name],"",0,)</f>
        <v/>
      </c>
      <c r="C116" s="44"/>
      <c r="D116" s="44"/>
      <c r="E116" s="44"/>
      <c r="F116" s="44"/>
      <c r="G116" s="44"/>
      <c r="H116" s="44"/>
      <c r="I116" s="44"/>
      <c r="J116" s="44"/>
      <c r="K116" s="44"/>
      <c r="L116" s="44"/>
      <c r="M116" s="12">
        <f>SUM(InnovationProjectResults[[#This Row],[Identify - Define]:[Communicate - Fun (CV)]])</f>
        <v>0</v>
      </c>
      <c r="N116" s="43">
        <f>IF(InnovationProjectResults[[#This Row],[Team Number]]&gt;0,MIN(_xlfn.RANK.EQ(InnovationProjectResults[[#This Row],[Innovation Project Score]],InnovationProjectResults[Innovation Project Score],0),NumberOfTeams),NumberOfTeams+1)</f>
        <v>1</v>
      </c>
    </row>
    <row r="117" spans="1:14" ht="30" customHeight="1" x14ac:dyDescent="0.45">
      <c r="A117" s="12">
        <f>_xlfn.XLOOKUP(116,OfficialTeamList[Row],OfficialTeamList[Team Number],"ERROR",0)</f>
        <v>0</v>
      </c>
      <c r="B117" s="42" t="str">
        <f>_xlfn.XLOOKUP(InnovationProjectResults[[#This Row],[Team Number]],OfficialTeamList[Team Number],OfficialTeamList[Team Name],"",0,)</f>
        <v/>
      </c>
      <c r="C117" s="44"/>
      <c r="D117" s="44"/>
      <c r="E117" s="44"/>
      <c r="F117" s="44"/>
      <c r="G117" s="44"/>
      <c r="H117" s="44"/>
      <c r="I117" s="44"/>
      <c r="J117" s="44"/>
      <c r="K117" s="44"/>
      <c r="L117" s="44"/>
      <c r="M117" s="12">
        <f>SUM(InnovationProjectResults[[#This Row],[Identify - Define]:[Communicate - Fun (CV)]])</f>
        <v>0</v>
      </c>
      <c r="N117" s="43">
        <f>IF(InnovationProjectResults[[#This Row],[Team Number]]&gt;0,MIN(_xlfn.RANK.EQ(InnovationProjectResults[[#This Row],[Innovation Project Score]],InnovationProjectResults[Innovation Project Score],0),NumberOfTeams),NumberOfTeams+1)</f>
        <v>1</v>
      </c>
    </row>
    <row r="118" spans="1:14" ht="30" customHeight="1" x14ac:dyDescent="0.45">
      <c r="A118" s="12">
        <f>_xlfn.XLOOKUP(117,OfficialTeamList[Row],OfficialTeamList[Team Number],"ERROR",0)</f>
        <v>0</v>
      </c>
      <c r="B118" s="42" t="str">
        <f>_xlfn.XLOOKUP(InnovationProjectResults[[#This Row],[Team Number]],OfficialTeamList[Team Number],OfficialTeamList[Team Name],"",0,)</f>
        <v/>
      </c>
      <c r="C118" s="44"/>
      <c r="D118" s="44"/>
      <c r="E118" s="44"/>
      <c r="F118" s="44"/>
      <c r="G118" s="44"/>
      <c r="H118" s="44"/>
      <c r="I118" s="44"/>
      <c r="J118" s="44"/>
      <c r="K118" s="44"/>
      <c r="L118" s="44"/>
      <c r="M118" s="12">
        <f>SUM(InnovationProjectResults[[#This Row],[Identify - Define]:[Communicate - Fun (CV)]])</f>
        <v>0</v>
      </c>
      <c r="N118" s="43">
        <f>IF(InnovationProjectResults[[#This Row],[Team Number]]&gt;0,MIN(_xlfn.RANK.EQ(InnovationProjectResults[[#This Row],[Innovation Project Score]],InnovationProjectResults[Innovation Project Score],0),NumberOfTeams),NumberOfTeams+1)</f>
        <v>1</v>
      </c>
    </row>
    <row r="119" spans="1:14" ht="30" customHeight="1" x14ac:dyDescent="0.45">
      <c r="A119" s="12">
        <f>_xlfn.XLOOKUP(118,OfficialTeamList[Row],OfficialTeamList[Team Number],"ERROR",0)</f>
        <v>0</v>
      </c>
      <c r="B119" s="42" t="str">
        <f>_xlfn.XLOOKUP(InnovationProjectResults[[#This Row],[Team Number]],OfficialTeamList[Team Number],OfficialTeamList[Team Name],"",0,)</f>
        <v/>
      </c>
      <c r="C119" s="44"/>
      <c r="D119" s="44"/>
      <c r="E119" s="44"/>
      <c r="F119" s="44"/>
      <c r="G119" s="44"/>
      <c r="H119" s="44"/>
      <c r="I119" s="44"/>
      <c r="J119" s="44"/>
      <c r="K119" s="44"/>
      <c r="L119" s="44"/>
      <c r="M119" s="12">
        <f>SUM(InnovationProjectResults[[#This Row],[Identify - Define]:[Communicate - Fun (CV)]])</f>
        <v>0</v>
      </c>
      <c r="N119" s="43">
        <f>IF(InnovationProjectResults[[#This Row],[Team Number]]&gt;0,MIN(_xlfn.RANK.EQ(InnovationProjectResults[[#This Row],[Innovation Project Score]],InnovationProjectResults[Innovation Project Score],0),NumberOfTeams),NumberOfTeams+1)</f>
        <v>1</v>
      </c>
    </row>
    <row r="120" spans="1:14" ht="30" customHeight="1" x14ac:dyDescent="0.45">
      <c r="A120" s="12">
        <f>_xlfn.XLOOKUP(119,OfficialTeamList[Row],OfficialTeamList[Team Number],"ERROR",0)</f>
        <v>0</v>
      </c>
      <c r="B120" s="42" t="str">
        <f>_xlfn.XLOOKUP(InnovationProjectResults[[#This Row],[Team Number]],OfficialTeamList[Team Number],OfficialTeamList[Team Name],"",0,)</f>
        <v/>
      </c>
      <c r="C120" s="44"/>
      <c r="D120" s="44"/>
      <c r="E120" s="44"/>
      <c r="F120" s="44"/>
      <c r="G120" s="44"/>
      <c r="H120" s="44"/>
      <c r="I120" s="44"/>
      <c r="J120" s="44"/>
      <c r="K120" s="44"/>
      <c r="L120" s="44"/>
      <c r="M120" s="12">
        <f>SUM(InnovationProjectResults[[#This Row],[Identify - Define]:[Communicate - Fun (CV)]])</f>
        <v>0</v>
      </c>
      <c r="N120" s="43">
        <f>IF(InnovationProjectResults[[#This Row],[Team Number]]&gt;0,MIN(_xlfn.RANK.EQ(InnovationProjectResults[[#This Row],[Innovation Project Score]],InnovationProjectResults[Innovation Project Score],0),NumberOfTeams),NumberOfTeams+1)</f>
        <v>1</v>
      </c>
    </row>
    <row r="121" spans="1:14" ht="30" customHeight="1" x14ac:dyDescent="0.45">
      <c r="A121" s="12">
        <f>_xlfn.XLOOKUP(120,OfficialTeamList[Row],OfficialTeamList[Team Number],"ERROR",0)</f>
        <v>0</v>
      </c>
      <c r="B121" s="42" t="str">
        <f>_xlfn.XLOOKUP(InnovationProjectResults[[#This Row],[Team Number]],OfficialTeamList[Team Number],OfficialTeamList[Team Name],"",0,)</f>
        <v/>
      </c>
      <c r="C121" s="44"/>
      <c r="D121" s="44"/>
      <c r="E121" s="44"/>
      <c r="F121" s="44"/>
      <c r="G121" s="44"/>
      <c r="H121" s="44"/>
      <c r="I121" s="44"/>
      <c r="J121" s="44"/>
      <c r="K121" s="44"/>
      <c r="L121" s="44"/>
      <c r="M121" s="12">
        <f>SUM(InnovationProjectResults[[#This Row],[Identify - Define]:[Communicate - Fun (CV)]])</f>
        <v>0</v>
      </c>
      <c r="N121" s="43">
        <f>IF(InnovationProjectResults[[#This Row],[Team Number]]&gt;0,MIN(_xlfn.RANK.EQ(InnovationProjectResults[[#This Row],[Innovation Project Score]],InnovationProjectResults[Innovation Project Score],0),NumberOfTeams),NumberOfTeams+1)</f>
        <v>1</v>
      </c>
    </row>
    <row r="122" spans="1:14" ht="30" customHeight="1" x14ac:dyDescent="0.45">
      <c r="A122" s="12">
        <f>_xlfn.XLOOKUP(121,OfficialTeamList[Row],OfficialTeamList[Team Number],"ERROR",0)</f>
        <v>0</v>
      </c>
      <c r="B122" s="42" t="str">
        <f>_xlfn.XLOOKUP(InnovationProjectResults[[#This Row],[Team Number]],OfficialTeamList[Team Number],OfficialTeamList[Team Name],"",0,)</f>
        <v/>
      </c>
      <c r="C122" s="44"/>
      <c r="D122" s="44"/>
      <c r="E122" s="44"/>
      <c r="F122" s="44"/>
      <c r="G122" s="44"/>
      <c r="H122" s="44"/>
      <c r="I122" s="44"/>
      <c r="J122" s="44"/>
      <c r="K122" s="44"/>
      <c r="L122" s="44"/>
      <c r="M122" s="12">
        <f>SUM(InnovationProjectResults[[#This Row],[Identify - Define]:[Communicate - Fun (CV)]])</f>
        <v>0</v>
      </c>
      <c r="N122" s="43">
        <f>IF(InnovationProjectResults[[#This Row],[Team Number]]&gt;0,MIN(_xlfn.RANK.EQ(InnovationProjectResults[[#This Row],[Innovation Project Score]],InnovationProjectResults[Innovation Project Score],0),NumberOfTeams),NumberOfTeams+1)</f>
        <v>1</v>
      </c>
    </row>
    <row r="123" spans="1:14" ht="30" customHeight="1" x14ac:dyDescent="0.45">
      <c r="A123" s="12">
        <f>_xlfn.XLOOKUP(122,OfficialTeamList[Row],OfficialTeamList[Team Number],"ERROR",0)</f>
        <v>0</v>
      </c>
      <c r="B123" s="42" t="str">
        <f>_xlfn.XLOOKUP(InnovationProjectResults[[#This Row],[Team Number]],OfficialTeamList[Team Number],OfficialTeamList[Team Name],"",0,)</f>
        <v/>
      </c>
      <c r="C123" s="44"/>
      <c r="D123" s="44"/>
      <c r="E123" s="44"/>
      <c r="F123" s="44"/>
      <c r="G123" s="44"/>
      <c r="H123" s="44"/>
      <c r="I123" s="44"/>
      <c r="J123" s="44"/>
      <c r="K123" s="44"/>
      <c r="L123" s="44"/>
      <c r="M123" s="12">
        <f>SUM(InnovationProjectResults[[#This Row],[Identify - Define]:[Communicate - Fun (CV)]])</f>
        <v>0</v>
      </c>
      <c r="N123" s="43">
        <f>IF(InnovationProjectResults[[#This Row],[Team Number]]&gt;0,MIN(_xlfn.RANK.EQ(InnovationProjectResults[[#This Row],[Innovation Project Score]],InnovationProjectResults[Innovation Project Score],0),NumberOfTeams),NumberOfTeams+1)</f>
        <v>1</v>
      </c>
    </row>
    <row r="124" spans="1:14" ht="30" customHeight="1" x14ac:dyDescent="0.45">
      <c r="A124" s="12">
        <f>_xlfn.XLOOKUP(123,OfficialTeamList[Row],OfficialTeamList[Team Number],"ERROR",0)</f>
        <v>0</v>
      </c>
      <c r="B124" s="42" t="str">
        <f>_xlfn.XLOOKUP(InnovationProjectResults[[#This Row],[Team Number]],OfficialTeamList[Team Number],OfficialTeamList[Team Name],"",0,)</f>
        <v/>
      </c>
      <c r="C124" s="44"/>
      <c r="D124" s="44"/>
      <c r="E124" s="44"/>
      <c r="F124" s="44"/>
      <c r="G124" s="44"/>
      <c r="H124" s="44"/>
      <c r="I124" s="44"/>
      <c r="J124" s="44"/>
      <c r="K124" s="44"/>
      <c r="L124" s="44"/>
      <c r="M124" s="12">
        <f>SUM(InnovationProjectResults[[#This Row],[Identify - Define]:[Communicate - Fun (CV)]])</f>
        <v>0</v>
      </c>
      <c r="N124" s="43">
        <f>IF(InnovationProjectResults[[#This Row],[Team Number]]&gt;0,MIN(_xlfn.RANK.EQ(InnovationProjectResults[[#This Row],[Innovation Project Score]],InnovationProjectResults[Innovation Project Score],0),NumberOfTeams),NumberOfTeams+1)</f>
        <v>1</v>
      </c>
    </row>
    <row r="125" spans="1:14" ht="30" customHeight="1" x14ac:dyDescent="0.45">
      <c r="A125" s="12">
        <f>_xlfn.XLOOKUP(124,OfficialTeamList[Row],OfficialTeamList[Team Number],"ERROR",0)</f>
        <v>0</v>
      </c>
      <c r="B125" s="42" t="str">
        <f>_xlfn.XLOOKUP(InnovationProjectResults[[#This Row],[Team Number]],OfficialTeamList[Team Number],OfficialTeamList[Team Name],"",0,)</f>
        <v/>
      </c>
      <c r="C125" s="44"/>
      <c r="D125" s="44"/>
      <c r="E125" s="44"/>
      <c r="F125" s="44"/>
      <c r="G125" s="44"/>
      <c r="H125" s="44"/>
      <c r="I125" s="44"/>
      <c r="J125" s="44"/>
      <c r="K125" s="44"/>
      <c r="L125" s="44"/>
      <c r="M125" s="12">
        <f>SUM(InnovationProjectResults[[#This Row],[Identify - Define]:[Communicate - Fun (CV)]])</f>
        <v>0</v>
      </c>
      <c r="N125" s="43">
        <f>IF(InnovationProjectResults[[#This Row],[Team Number]]&gt;0,MIN(_xlfn.RANK.EQ(InnovationProjectResults[[#This Row],[Innovation Project Score]],InnovationProjectResults[Innovation Project Score],0),NumberOfTeams),NumberOfTeams+1)</f>
        <v>1</v>
      </c>
    </row>
    <row r="126" spans="1:14" ht="30" customHeight="1" x14ac:dyDescent="0.45">
      <c r="A126" s="12">
        <f>_xlfn.XLOOKUP(125,OfficialTeamList[Row],OfficialTeamList[Team Number],"ERROR",0)</f>
        <v>0</v>
      </c>
      <c r="B126" s="42" t="str">
        <f>_xlfn.XLOOKUP(InnovationProjectResults[[#This Row],[Team Number]],OfficialTeamList[Team Number],OfficialTeamList[Team Name],"",0,)</f>
        <v/>
      </c>
      <c r="C126" s="44"/>
      <c r="D126" s="44"/>
      <c r="E126" s="44"/>
      <c r="F126" s="44"/>
      <c r="G126" s="44"/>
      <c r="H126" s="44"/>
      <c r="I126" s="44"/>
      <c r="J126" s="44"/>
      <c r="K126" s="44"/>
      <c r="L126" s="44"/>
      <c r="M126" s="12">
        <f>SUM(InnovationProjectResults[[#This Row],[Identify - Define]:[Communicate - Fun (CV)]])</f>
        <v>0</v>
      </c>
      <c r="N126" s="43">
        <f>IF(InnovationProjectResults[[#This Row],[Team Number]]&gt;0,MIN(_xlfn.RANK.EQ(InnovationProjectResults[[#This Row],[Innovation Project Score]],InnovationProjectResults[Innovation Project Score],0),NumberOfTeams),NumberOfTeams+1)</f>
        <v>1</v>
      </c>
    </row>
    <row r="127" spans="1:14" ht="30" customHeight="1" x14ac:dyDescent="0.45">
      <c r="A127" s="12">
        <f>_xlfn.XLOOKUP(126,OfficialTeamList[Row],OfficialTeamList[Team Number],"ERROR",0)</f>
        <v>0</v>
      </c>
      <c r="B127" s="42" t="str">
        <f>_xlfn.XLOOKUP(InnovationProjectResults[[#This Row],[Team Number]],OfficialTeamList[Team Number],OfficialTeamList[Team Name],"",0,)</f>
        <v/>
      </c>
      <c r="C127" s="44"/>
      <c r="D127" s="44"/>
      <c r="E127" s="44"/>
      <c r="F127" s="44"/>
      <c r="G127" s="44"/>
      <c r="H127" s="44"/>
      <c r="I127" s="44"/>
      <c r="J127" s="44"/>
      <c r="K127" s="44"/>
      <c r="L127" s="44"/>
      <c r="M127" s="12">
        <f>SUM(InnovationProjectResults[[#This Row],[Identify - Define]:[Communicate - Fun (CV)]])</f>
        <v>0</v>
      </c>
      <c r="N127" s="43">
        <f>IF(InnovationProjectResults[[#This Row],[Team Number]]&gt;0,MIN(_xlfn.RANK.EQ(InnovationProjectResults[[#This Row],[Innovation Project Score]],InnovationProjectResults[Innovation Project Score],0),NumberOfTeams),NumberOfTeams+1)</f>
        <v>1</v>
      </c>
    </row>
    <row r="128" spans="1:14" ht="30" customHeight="1" x14ac:dyDescent="0.45">
      <c r="A128" s="12">
        <f>_xlfn.XLOOKUP(127,OfficialTeamList[Row],OfficialTeamList[Team Number],"ERROR",0)</f>
        <v>0</v>
      </c>
      <c r="B128" s="42" t="str">
        <f>_xlfn.XLOOKUP(InnovationProjectResults[[#This Row],[Team Number]],OfficialTeamList[Team Number],OfficialTeamList[Team Name],"",0,)</f>
        <v/>
      </c>
      <c r="C128" s="44"/>
      <c r="D128" s="44"/>
      <c r="E128" s="44"/>
      <c r="F128" s="44"/>
      <c r="G128" s="44"/>
      <c r="H128" s="44"/>
      <c r="I128" s="44"/>
      <c r="J128" s="44"/>
      <c r="K128" s="44"/>
      <c r="L128" s="44"/>
      <c r="M128" s="12">
        <f>SUM(InnovationProjectResults[[#This Row],[Identify - Define]:[Communicate - Fun (CV)]])</f>
        <v>0</v>
      </c>
      <c r="N128" s="43">
        <f>IF(InnovationProjectResults[[#This Row],[Team Number]]&gt;0,MIN(_xlfn.RANK.EQ(InnovationProjectResults[[#This Row],[Innovation Project Score]],InnovationProjectResults[Innovation Project Score],0),NumberOfTeams),NumberOfTeams+1)</f>
        <v>1</v>
      </c>
    </row>
    <row r="129" spans="1:14" ht="30" customHeight="1" x14ac:dyDescent="0.45">
      <c r="A129" s="12">
        <f>_xlfn.XLOOKUP(128,OfficialTeamList[Row],OfficialTeamList[Team Number],"ERROR",0)</f>
        <v>0</v>
      </c>
      <c r="B129" s="42" t="str">
        <f>_xlfn.XLOOKUP(InnovationProjectResults[[#This Row],[Team Number]],OfficialTeamList[Team Number],OfficialTeamList[Team Name],"",0,)</f>
        <v/>
      </c>
      <c r="C129" s="44"/>
      <c r="D129" s="44"/>
      <c r="E129" s="44"/>
      <c r="F129" s="44"/>
      <c r="G129" s="44"/>
      <c r="H129" s="44"/>
      <c r="I129" s="44"/>
      <c r="J129" s="44"/>
      <c r="K129" s="44"/>
      <c r="L129" s="44"/>
      <c r="M129" s="12">
        <f>SUM(InnovationProjectResults[[#This Row],[Identify - Define]:[Communicate - Fun (CV)]])</f>
        <v>0</v>
      </c>
      <c r="N129" s="43">
        <f>IF(InnovationProjectResults[[#This Row],[Team Number]]&gt;0,MIN(_xlfn.RANK.EQ(InnovationProjectResults[[#This Row],[Innovation Project Score]],InnovationProjectResults[Innovation Project Score],0),NumberOfTeams),NumberOfTeams+1)</f>
        <v>1</v>
      </c>
    </row>
    <row r="130" spans="1:14" ht="30" customHeight="1" x14ac:dyDescent="0.45">
      <c r="A130" s="12">
        <f>_xlfn.XLOOKUP(129,OfficialTeamList[Row],OfficialTeamList[Team Number],"ERROR",0)</f>
        <v>0</v>
      </c>
      <c r="B130" s="42" t="str">
        <f>_xlfn.XLOOKUP(InnovationProjectResults[[#This Row],[Team Number]],OfficialTeamList[Team Number],OfficialTeamList[Team Name],"",0,)</f>
        <v/>
      </c>
      <c r="C130" s="44"/>
      <c r="D130" s="44"/>
      <c r="E130" s="44"/>
      <c r="F130" s="44"/>
      <c r="G130" s="44"/>
      <c r="H130" s="44"/>
      <c r="I130" s="44"/>
      <c r="J130" s="44"/>
      <c r="K130" s="44"/>
      <c r="L130" s="44"/>
      <c r="M130" s="12">
        <f>SUM(InnovationProjectResults[[#This Row],[Identify - Define]:[Communicate - Fun (CV)]])</f>
        <v>0</v>
      </c>
      <c r="N130" s="43">
        <f>IF(InnovationProjectResults[[#This Row],[Team Number]]&gt;0,MIN(_xlfn.RANK.EQ(InnovationProjectResults[[#This Row],[Innovation Project Score]],InnovationProjectResults[Innovation Project Score],0),NumberOfTeams),NumberOfTeams+1)</f>
        <v>1</v>
      </c>
    </row>
    <row r="131" spans="1:14" ht="30" customHeight="1" x14ac:dyDescent="0.45">
      <c r="A131" s="12">
        <f>_xlfn.XLOOKUP(130,OfficialTeamList[Row],OfficialTeamList[Team Number],"ERROR",0)</f>
        <v>0</v>
      </c>
      <c r="B131" s="42" t="str">
        <f>_xlfn.XLOOKUP(InnovationProjectResults[[#This Row],[Team Number]],OfficialTeamList[Team Number],OfficialTeamList[Team Name],"",0,)</f>
        <v/>
      </c>
      <c r="C131" s="44"/>
      <c r="D131" s="44"/>
      <c r="E131" s="44"/>
      <c r="F131" s="44"/>
      <c r="G131" s="44"/>
      <c r="H131" s="44"/>
      <c r="I131" s="44"/>
      <c r="J131" s="44"/>
      <c r="K131" s="44"/>
      <c r="L131" s="44"/>
      <c r="M131" s="12">
        <f>SUM(InnovationProjectResults[[#This Row],[Identify - Define]:[Communicate - Fun (CV)]])</f>
        <v>0</v>
      </c>
      <c r="N131" s="43">
        <f>IF(InnovationProjectResults[[#This Row],[Team Number]]&gt;0,MIN(_xlfn.RANK.EQ(InnovationProjectResults[[#This Row],[Innovation Project Score]],InnovationProjectResults[Innovation Project Score],0),NumberOfTeams),NumberOfTeams+1)</f>
        <v>1</v>
      </c>
    </row>
    <row r="132" spans="1:14" ht="30" customHeight="1" x14ac:dyDescent="0.45">
      <c r="A132" s="12">
        <f>_xlfn.XLOOKUP(131,OfficialTeamList[Row],OfficialTeamList[Team Number],"ERROR",0)</f>
        <v>0</v>
      </c>
      <c r="B132" s="42" t="str">
        <f>_xlfn.XLOOKUP(InnovationProjectResults[[#This Row],[Team Number]],OfficialTeamList[Team Number],OfficialTeamList[Team Name],"",0,)</f>
        <v/>
      </c>
      <c r="C132" s="44"/>
      <c r="D132" s="44"/>
      <c r="E132" s="44"/>
      <c r="F132" s="44"/>
      <c r="G132" s="44"/>
      <c r="H132" s="44"/>
      <c r="I132" s="44"/>
      <c r="J132" s="44"/>
      <c r="K132" s="44"/>
      <c r="L132" s="44"/>
      <c r="M132" s="12">
        <f>SUM(InnovationProjectResults[[#This Row],[Identify - Define]:[Communicate - Fun (CV)]])</f>
        <v>0</v>
      </c>
      <c r="N132" s="43">
        <f>IF(InnovationProjectResults[[#This Row],[Team Number]]&gt;0,MIN(_xlfn.RANK.EQ(InnovationProjectResults[[#This Row],[Innovation Project Score]],InnovationProjectResults[Innovation Project Score],0),NumberOfTeams),NumberOfTeams+1)</f>
        <v>1</v>
      </c>
    </row>
    <row r="133" spans="1:14" ht="30" customHeight="1" x14ac:dyDescent="0.45">
      <c r="A133" s="12">
        <f>_xlfn.XLOOKUP(132,OfficialTeamList[Row],OfficialTeamList[Team Number],"ERROR",0)</f>
        <v>0</v>
      </c>
      <c r="B133" s="42" t="str">
        <f>_xlfn.XLOOKUP(InnovationProjectResults[[#This Row],[Team Number]],OfficialTeamList[Team Number],OfficialTeamList[Team Name],"",0,)</f>
        <v/>
      </c>
      <c r="C133" s="44"/>
      <c r="D133" s="44"/>
      <c r="E133" s="44"/>
      <c r="F133" s="44"/>
      <c r="G133" s="44"/>
      <c r="H133" s="44"/>
      <c r="I133" s="44"/>
      <c r="J133" s="44"/>
      <c r="K133" s="44"/>
      <c r="L133" s="44"/>
      <c r="M133" s="12">
        <f>SUM(InnovationProjectResults[[#This Row],[Identify - Define]:[Communicate - Fun (CV)]])</f>
        <v>0</v>
      </c>
      <c r="N133" s="43">
        <f>IF(InnovationProjectResults[[#This Row],[Team Number]]&gt;0,MIN(_xlfn.RANK.EQ(InnovationProjectResults[[#This Row],[Innovation Project Score]],InnovationProjectResults[Innovation Project Score],0),NumberOfTeams),NumberOfTeams+1)</f>
        <v>1</v>
      </c>
    </row>
    <row r="134" spans="1:14" ht="30" customHeight="1" x14ac:dyDescent="0.45">
      <c r="A134" s="12">
        <f>_xlfn.XLOOKUP(133,OfficialTeamList[Row],OfficialTeamList[Team Number],"ERROR",0)</f>
        <v>0</v>
      </c>
      <c r="B134" s="42" t="str">
        <f>_xlfn.XLOOKUP(InnovationProjectResults[[#This Row],[Team Number]],OfficialTeamList[Team Number],OfficialTeamList[Team Name],"",0,)</f>
        <v/>
      </c>
      <c r="C134" s="44"/>
      <c r="D134" s="44"/>
      <c r="E134" s="44"/>
      <c r="F134" s="44"/>
      <c r="G134" s="44"/>
      <c r="H134" s="44"/>
      <c r="I134" s="44"/>
      <c r="J134" s="44"/>
      <c r="K134" s="44"/>
      <c r="L134" s="44"/>
      <c r="M134" s="12">
        <f>SUM(InnovationProjectResults[[#This Row],[Identify - Define]:[Communicate - Fun (CV)]])</f>
        <v>0</v>
      </c>
      <c r="N134" s="43">
        <f>IF(InnovationProjectResults[[#This Row],[Team Number]]&gt;0,MIN(_xlfn.RANK.EQ(InnovationProjectResults[[#This Row],[Innovation Project Score]],InnovationProjectResults[Innovation Project Score],0),NumberOfTeams),NumberOfTeams+1)</f>
        <v>1</v>
      </c>
    </row>
    <row r="135" spans="1:14" ht="30" customHeight="1" x14ac:dyDescent="0.45">
      <c r="A135" s="12">
        <f>_xlfn.XLOOKUP(134,OfficialTeamList[Row],OfficialTeamList[Team Number],"ERROR",0)</f>
        <v>0</v>
      </c>
      <c r="B135" s="42" t="str">
        <f>_xlfn.XLOOKUP(InnovationProjectResults[[#This Row],[Team Number]],OfficialTeamList[Team Number],OfficialTeamList[Team Name],"",0,)</f>
        <v/>
      </c>
      <c r="C135" s="44"/>
      <c r="D135" s="44"/>
      <c r="E135" s="44"/>
      <c r="F135" s="44"/>
      <c r="G135" s="44"/>
      <c r="H135" s="44"/>
      <c r="I135" s="44"/>
      <c r="J135" s="44"/>
      <c r="K135" s="44"/>
      <c r="L135" s="44"/>
      <c r="M135" s="12">
        <f>SUM(InnovationProjectResults[[#This Row],[Identify - Define]:[Communicate - Fun (CV)]])</f>
        <v>0</v>
      </c>
      <c r="N135" s="43">
        <f>IF(InnovationProjectResults[[#This Row],[Team Number]]&gt;0,MIN(_xlfn.RANK.EQ(InnovationProjectResults[[#This Row],[Innovation Project Score]],InnovationProjectResults[Innovation Project Score],0),NumberOfTeams),NumberOfTeams+1)</f>
        <v>1</v>
      </c>
    </row>
    <row r="136" spans="1:14" ht="30" customHeight="1" x14ac:dyDescent="0.45">
      <c r="A136" s="12">
        <f>_xlfn.XLOOKUP(135,OfficialTeamList[Row],OfficialTeamList[Team Number],"ERROR",0)</f>
        <v>0</v>
      </c>
      <c r="B136" s="42" t="str">
        <f>_xlfn.XLOOKUP(InnovationProjectResults[[#This Row],[Team Number]],OfficialTeamList[Team Number],OfficialTeamList[Team Name],"",0,)</f>
        <v/>
      </c>
      <c r="C136" s="44"/>
      <c r="D136" s="44"/>
      <c r="E136" s="44"/>
      <c r="F136" s="44"/>
      <c r="G136" s="44"/>
      <c r="H136" s="44"/>
      <c r="I136" s="44"/>
      <c r="J136" s="44"/>
      <c r="K136" s="44"/>
      <c r="L136" s="44"/>
      <c r="M136" s="12">
        <f>SUM(InnovationProjectResults[[#This Row],[Identify - Define]:[Communicate - Fun (CV)]])</f>
        <v>0</v>
      </c>
      <c r="N136" s="43">
        <f>IF(InnovationProjectResults[[#This Row],[Team Number]]&gt;0,MIN(_xlfn.RANK.EQ(InnovationProjectResults[[#This Row],[Innovation Project Score]],InnovationProjectResults[Innovation Project Score],0),NumberOfTeams),NumberOfTeams+1)</f>
        <v>1</v>
      </c>
    </row>
    <row r="137" spans="1:14" ht="30" customHeight="1" x14ac:dyDescent="0.45">
      <c r="A137" s="12">
        <f>_xlfn.XLOOKUP(136,OfficialTeamList[Row],OfficialTeamList[Team Number],"ERROR",0)</f>
        <v>0</v>
      </c>
      <c r="B137" s="42" t="str">
        <f>_xlfn.XLOOKUP(InnovationProjectResults[[#This Row],[Team Number]],OfficialTeamList[Team Number],OfficialTeamList[Team Name],"",0,)</f>
        <v/>
      </c>
      <c r="C137" s="44"/>
      <c r="D137" s="44"/>
      <c r="E137" s="44"/>
      <c r="F137" s="44"/>
      <c r="G137" s="44"/>
      <c r="H137" s="44"/>
      <c r="I137" s="44"/>
      <c r="J137" s="44"/>
      <c r="K137" s="44"/>
      <c r="L137" s="44"/>
      <c r="M137" s="12">
        <f>SUM(InnovationProjectResults[[#This Row],[Identify - Define]:[Communicate - Fun (CV)]])</f>
        <v>0</v>
      </c>
      <c r="N137" s="43">
        <f>IF(InnovationProjectResults[[#This Row],[Team Number]]&gt;0,MIN(_xlfn.RANK.EQ(InnovationProjectResults[[#This Row],[Innovation Project Score]],InnovationProjectResults[Innovation Project Score],0),NumberOfTeams),NumberOfTeams+1)</f>
        <v>1</v>
      </c>
    </row>
    <row r="138" spans="1:14" ht="30" customHeight="1" x14ac:dyDescent="0.45">
      <c r="A138" s="12">
        <f>_xlfn.XLOOKUP(137,OfficialTeamList[Row],OfficialTeamList[Team Number],"ERROR",0)</f>
        <v>0</v>
      </c>
      <c r="B138" s="42" t="str">
        <f>_xlfn.XLOOKUP(InnovationProjectResults[[#This Row],[Team Number]],OfficialTeamList[Team Number],OfficialTeamList[Team Name],"",0,)</f>
        <v/>
      </c>
      <c r="C138" s="44"/>
      <c r="D138" s="44"/>
      <c r="E138" s="44"/>
      <c r="F138" s="44"/>
      <c r="G138" s="44"/>
      <c r="H138" s="44"/>
      <c r="I138" s="44"/>
      <c r="J138" s="44"/>
      <c r="K138" s="44"/>
      <c r="L138" s="44"/>
      <c r="M138" s="12">
        <f>SUM(InnovationProjectResults[[#This Row],[Identify - Define]:[Communicate - Fun (CV)]])</f>
        <v>0</v>
      </c>
      <c r="N138" s="43">
        <f>IF(InnovationProjectResults[[#This Row],[Team Number]]&gt;0,MIN(_xlfn.RANK.EQ(InnovationProjectResults[[#This Row],[Innovation Project Score]],InnovationProjectResults[Innovation Project Score],0),NumberOfTeams),NumberOfTeams+1)</f>
        <v>1</v>
      </c>
    </row>
    <row r="139" spans="1:14" ht="30" customHeight="1" x14ac:dyDescent="0.45">
      <c r="A139" s="12">
        <f>_xlfn.XLOOKUP(138,OfficialTeamList[Row],OfficialTeamList[Team Number],"ERROR",0)</f>
        <v>0</v>
      </c>
      <c r="B139" s="42" t="str">
        <f>_xlfn.XLOOKUP(InnovationProjectResults[[#This Row],[Team Number]],OfficialTeamList[Team Number],OfficialTeamList[Team Name],"",0,)</f>
        <v/>
      </c>
      <c r="C139" s="44"/>
      <c r="D139" s="44"/>
      <c r="E139" s="44"/>
      <c r="F139" s="44"/>
      <c r="G139" s="44"/>
      <c r="H139" s="44"/>
      <c r="I139" s="44"/>
      <c r="J139" s="44"/>
      <c r="K139" s="44"/>
      <c r="L139" s="44"/>
      <c r="M139" s="12">
        <f>SUM(InnovationProjectResults[[#This Row],[Identify - Define]:[Communicate - Fun (CV)]])</f>
        <v>0</v>
      </c>
      <c r="N139" s="43">
        <f>IF(InnovationProjectResults[[#This Row],[Team Number]]&gt;0,MIN(_xlfn.RANK.EQ(InnovationProjectResults[[#This Row],[Innovation Project Score]],InnovationProjectResults[Innovation Project Score],0),NumberOfTeams),NumberOfTeams+1)</f>
        <v>1</v>
      </c>
    </row>
    <row r="140" spans="1:14" ht="30" customHeight="1" x14ac:dyDescent="0.45">
      <c r="A140" s="12">
        <f>_xlfn.XLOOKUP(139,OfficialTeamList[Row],OfficialTeamList[Team Number],"ERROR",0)</f>
        <v>0</v>
      </c>
      <c r="B140" s="42" t="str">
        <f>_xlfn.XLOOKUP(InnovationProjectResults[[#This Row],[Team Number]],OfficialTeamList[Team Number],OfficialTeamList[Team Name],"",0,)</f>
        <v/>
      </c>
      <c r="C140" s="44"/>
      <c r="D140" s="44"/>
      <c r="E140" s="44"/>
      <c r="F140" s="44"/>
      <c r="G140" s="44"/>
      <c r="H140" s="44"/>
      <c r="I140" s="44"/>
      <c r="J140" s="44"/>
      <c r="K140" s="44"/>
      <c r="L140" s="44"/>
      <c r="M140" s="12">
        <f>SUM(InnovationProjectResults[[#This Row],[Identify - Define]:[Communicate - Fun (CV)]])</f>
        <v>0</v>
      </c>
      <c r="N140" s="43">
        <f>IF(InnovationProjectResults[[#This Row],[Team Number]]&gt;0,MIN(_xlfn.RANK.EQ(InnovationProjectResults[[#This Row],[Innovation Project Score]],InnovationProjectResults[Innovation Project Score],0),NumberOfTeams),NumberOfTeams+1)</f>
        <v>1</v>
      </c>
    </row>
    <row r="141" spans="1:14" ht="30" customHeight="1" x14ac:dyDescent="0.45">
      <c r="A141" s="12">
        <f>_xlfn.XLOOKUP(140,OfficialTeamList[Row],OfficialTeamList[Team Number],"ERROR",0)</f>
        <v>0</v>
      </c>
      <c r="B141" s="42" t="str">
        <f>_xlfn.XLOOKUP(InnovationProjectResults[[#This Row],[Team Number]],OfficialTeamList[Team Number],OfficialTeamList[Team Name],"",0,)</f>
        <v/>
      </c>
      <c r="C141" s="44"/>
      <c r="D141" s="44"/>
      <c r="E141" s="44"/>
      <c r="F141" s="44"/>
      <c r="G141" s="44"/>
      <c r="H141" s="44"/>
      <c r="I141" s="44"/>
      <c r="J141" s="44"/>
      <c r="K141" s="44"/>
      <c r="L141" s="44"/>
      <c r="M141" s="12">
        <f>SUM(InnovationProjectResults[[#This Row],[Identify - Define]:[Communicate - Fun (CV)]])</f>
        <v>0</v>
      </c>
      <c r="N141" s="43">
        <f>IF(InnovationProjectResults[[#This Row],[Team Number]]&gt;0,MIN(_xlfn.RANK.EQ(InnovationProjectResults[[#This Row],[Innovation Project Score]],InnovationProjectResults[Innovation Project Score],0),NumberOfTeams),NumberOfTeams+1)</f>
        <v>1</v>
      </c>
    </row>
    <row r="142" spans="1:14" ht="30" customHeight="1" x14ac:dyDescent="0.45">
      <c r="A142" s="12">
        <f>_xlfn.XLOOKUP(141,OfficialTeamList[Row],OfficialTeamList[Team Number],"ERROR",0)</f>
        <v>0</v>
      </c>
      <c r="B142" s="42" t="str">
        <f>_xlfn.XLOOKUP(InnovationProjectResults[[#This Row],[Team Number]],OfficialTeamList[Team Number],OfficialTeamList[Team Name],"",0,)</f>
        <v/>
      </c>
      <c r="C142" s="44"/>
      <c r="D142" s="44"/>
      <c r="E142" s="44"/>
      <c r="F142" s="44"/>
      <c r="G142" s="44"/>
      <c r="H142" s="44"/>
      <c r="I142" s="44"/>
      <c r="J142" s="44"/>
      <c r="K142" s="44"/>
      <c r="L142" s="44"/>
      <c r="M142" s="12">
        <f>SUM(InnovationProjectResults[[#This Row],[Identify - Define]:[Communicate - Fun (CV)]])</f>
        <v>0</v>
      </c>
      <c r="N142" s="43">
        <f>IF(InnovationProjectResults[[#This Row],[Team Number]]&gt;0,MIN(_xlfn.RANK.EQ(InnovationProjectResults[[#This Row],[Innovation Project Score]],InnovationProjectResults[Innovation Project Score],0),NumberOfTeams),NumberOfTeams+1)</f>
        <v>1</v>
      </c>
    </row>
    <row r="143" spans="1:14" ht="30" customHeight="1" x14ac:dyDescent="0.45">
      <c r="A143" s="12">
        <f>_xlfn.XLOOKUP(142,OfficialTeamList[Row],OfficialTeamList[Team Number],"ERROR",0)</f>
        <v>0</v>
      </c>
      <c r="B143" s="42" t="str">
        <f>_xlfn.XLOOKUP(InnovationProjectResults[[#This Row],[Team Number]],OfficialTeamList[Team Number],OfficialTeamList[Team Name],"",0,)</f>
        <v/>
      </c>
      <c r="C143" s="44"/>
      <c r="D143" s="44"/>
      <c r="E143" s="44"/>
      <c r="F143" s="44"/>
      <c r="G143" s="44"/>
      <c r="H143" s="44"/>
      <c r="I143" s="44"/>
      <c r="J143" s="44"/>
      <c r="K143" s="44"/>
      <c r="L143" s="44"/>
      <c r="M143" s="12">
        <f>SUM(InnovationProjectResults[[#This Row],[Identify - Define]:[Communicate - Fun (CV)]])</f>
        <v>0</v>
      </c>
      <c r="N143" s="43">
        <f>IF(InnovationProjectResults[[#This Row],[Team Number]]&gt;0,MIN(_xlfn.RANK.EQ(InnovationProjectResults[[#This Row],[Innovation Project Score]],InnovationProjectResults[Innovation Project Score],0),NumberOfTeams),NumberOfTeams+1)</f>
        <v>1</v>
      </c>
    </row>
    <row r="144" spans="1:14" ht="30" customHeight="1" x14ac:dyDescent="0.45">
      <c r="A144" s="12">
        <f>_xlfn.XLOOKUP(143,OfficialTeamList[Row],OfficialTeamList[Team Number],"ERROR",0)</f>
        <v>0</v>
      </c>
      <c r="B144" s="42" t="str">
        <f>_xlfn.XLOOKUP(InnovationProjectResults[[#This Row],[Team Number]],OfficialTeamList[Team Number],OfficialTeamList[Team Name],"",0,)</f>
        <v/>
      </c>
      <c r="C144" s="44"/>
      <c r="D144" s="44"/>
      <c r="E144" s="44"/>
      <c r="F144" s="44"/>
      <c r="G144" s="44"/>
      <c r="H144" s="44"/>
      <c r="I144" s="44"/>
      <c r="J144" s="44"/>
      <c r="K144" s="44"/>
      <c r="L144" s="44"/>
      <c r="M144" s="12">
        <f>SUM(InnovationProjectResults[[#This Row],[Identify - Define]:[Communicate - Fun (CV)]])</f>
        <v>0</v>
      </c>
      <c r="N144" s="43">
        <f>IF(InnovationProjectResults[[#This Row],[Team Number]]&gt;0,MIN(_xlfn.RANK.EQ(InnovationProjectResults[[#This Row],[Innovation Project Score]],InnovationProjectResults[Innovation Project Score],0),NumberOfTeams),NumberOfTeams+1)</f>
        <v>1</v>
      </c>
    </row>
    <row r="145" spans="1:14" ht="30" customHeight="1" x14ac:dyDescent="0.45">
      <c r="A145" s="12">
        <f>_xlfn.XLOOKUP(144,OfficialTeamList[Row],OfficialTeamList[Team Number],"ERROR",0)</f>
        <v>0</v>
      </c>
      <c r="B145" s="42" t="str">
        <f>_xlfn.XLOOKUP(InnovationProjectResults[[#This Row],[Team Number]],OfficialTeamList[Team Number],OfficialTeamList[Team Name],"",0,)</f>
        <v/>
      </c>
      <c r="C145" s="44"/>
      <c r="D145" s="44"/>
      <c r="E145" s="44"/>
      <c r="F145" s="44"/>
      <c r="G145" s="44"/>
      <c r="H145" s="44"/>
      <c r="I145" s="44"/>
      <c r="J145" s="44"/>
      <c r="K145" s="44"/>
      <c r="L145" s="44"/>
      <c r="M145" s="12">
        <f>SUM(InnovationProjectResults[[#This Row],[Identify - Define]:[Communicate - Fun (CV)]])</f>
        <v>0</v>
      </c>
      <c r="N145" s="43">
        <f>IF(InnovationProjectResults[[#This Row],[Team Number]]&gt;0,MIN(_xlfn.RANK.EQ(InnovationProjectResults[[#This Row],[Innovation Project Score]],InnovationProjectResults[Innovation Project Score],0),NumberOfTeams),NumberOfTeams+1)</f>
        <v>1</v>
      </c>
    </row>
    <row r="146" spans="1:14" ht="30" customHeight="1" x14ac:dyDescent="0.45">
      <c r="A146" s="12">
        <f>_xlfn.XLOOKUP(145,OfficialTeamList[Row],OfficialTeamList[Team Number],"ERROR",0)</f>
        <v>0</v>
      </c>
      <c r="B146" s="42" t="str">
        <f>_xlfn.XLOOKUP(InnovationProjectResults[[#This Row],[Team Number]],OfficialTeamList[Team Number],OfficialTeamList[Team Name],"",0,)</f>
        <v/>
      </c>
      <c r="C146" s="44"/>
      <c r="D146" s="44"/>
      <c r="E146" s="44"/>
      <c r="F146" s="44"/>
      <c r="G146" s="44"/>
      <c r="H146" s="44"/>
      <c r="I146" s="44"/>
      <c r="J146" s="44"/>
      <c r="K146" s="44"/>
      <c r="L146" s="44"/>
      <c r="M146" s="12">
        <f>SUM(InnovationProjectResults[[#This Row],[Identify - Define]:[Communicate - Fun (CV)]])</f>
        <v>0</v>
      </c>
      <c r="N146" s="43">
        <f>IF(InnovationProjectResults[[#This Row],[Team Number]]&gt;0,MIN(_xlfn.RANK.EQ(InnovationProjectResults[[#This Row],[Innovation Project Score]],InnovationProjectResults[Innovation Project Score],0),NumberOfTeams),NumberOfTeams+1)</f>
        <v>1</v>
      </c>
    </row>
    <row r="147" spans="1:14" ht="30" customHeight="1" x14ac:dyDescent="0.45">
      <c r="A147" s="12">
        <f>_xlfn.XLOOKUP(146,OfficialTeamList[Row],OfficialTeamList[Team Number],"ERROR",0)</f>
        <v>0</v>
      </c>
      <c r="B147" s="42" t="str">
        <f>_xlfn.XLOOKUP(InnovationProjectResults[[#This Row],[Team Number]],OfficialTeamList[Team Number],OfficialTeamList[Team Name],"",0,)</f>
        <v/>
      </c>
      <c r="C147" s="44"/>
      <c r="D147" s="44"/>
      <c r="E147" s="44"/>
      <c r="F147" s="44"/>
      <c r="G147" s="44"/>
      <c r="H147" s="44"/>
      <c r="I147" s="44"/>
      <c r="J147" s="44"/>
      <c r="K147" s="44"/>
      <c r="L147" s="44"/>
      <c r="M147" s="12">
        <f>SUM(InnovationProjectResults[[#This Row],[Identify - Define]:[Communicate - Fun (CV)]])</f>
        <v>0</v>
      </c>
      <c r="N147" s="43">
        <f>IF(InnovationProjectResults[[#This Row],[Team Number]]&gt;0,MIN(_xlfn.RANK.EQ(InnovationProjectResults[[#This Row],[Innovation Project Score]],InnovationProjectResults[Innovation Project Score],0),NumberOfTeams),NumberOfTeams+1)</f>
        <v>1</v>
      </c>
    </row>
    <row r="148" spans="1:14" ht="30" customHeight="1" x14ac:dyDescent="0.45">
      <c r="A148" s="12">
        <f>_xlfn.XLOOKUP(147,OfficialTeamList[Row],OfficialTeamList[Team Number],"ERROR",0)</f>
        <v>0</v>
      </c>
      <c r="B148" s="42" t="str">
        <f>_xlfn.XLOOKUP(InnovationProjectResults[[#This Row],[Team Number]],OfficialTeamList[Team Number],OfficialTeamList[Team Name],"",0,)</f>
        <v/>
      </c>
      <c r="C148" s="44"/>
      <c r="D148" s="44"/>
      <c r="E148" s="44"/>
      <c r="F148" s="44"/>
      <c r="G148" s="44"/>
      <c r="H148" s="44"/>
      <c r="I148" s="44"/>
      <c r="J148" s="44"/>
      <c r="K148" s="44"/>
      <c r="L148" s="44"/>
      <c r="M148" s="12">
        <f>SUM(InnovationProjectResults[[#This Row],[Identify - Define]:[Communicate - Fun (CV)]])</f>
        <v>0</v>
      </c>
      <c r="N148" s="43">
        <f>IF(InnovationProjectResults[[#This Row],[Team Number]]&gt;0,MIN(_xlfn.RANK.EQ(InnovationProjectResults[[#This Row],[Innovation Project Score]],InnovationProjectResults[Innovation Project Score],0),NumberOfTeams),NumberOfTeams+1)</f>
        <v>1</v>
      </c>
    </row>
    <row r="149" spans="1:14" ht="30" customHeight="1" x14ac:dyDescent="0.45">
      <c r="A149" s="12">
        <f>_xlfn.XLOOKUP(148,OfficialTeamList[Row],OfficialTeamList[Team Number],"ERROR",0)</f>
        <v>0</v>
      </c>
      <c r="B149" s="42" t="str">
        <f>_xlfn.XLOOKUP(InnovationProjectResults[[#This Row],[Team Number]],OfficialTeamList[Team Number],OfficialTeamList[Team Name],"",0,)</f>
        <v/>
      </c>
      <c r="C149" s="44"/>
      <c r="D149" s="44"/>
      <c r="E149" s="44"/>
      <c r="F149" s="44"/>
      <c r="G149" s="44"/>
      <c r="H149" s="44"/>
      <c r="I149" s="44"/>
      <c r="J149" s="44"/>
      <c r="K149" s="44"/>
      <c r="L149" s="44"/>
      <c r="M149" s="12">
        <f>SUM(InnovationProjectResults[[#This Row],[Identify - Define]:[Communicate - Fun (CV)]])</f>
        <v>0</v>
      </c>
      <c r="N149" s="43">
        <f>IF(InnovationProjectResults[[#This Row],[Team Number]]&gt;0,MIN(_xlfn.RANK.EQ(InnovationProjectResults[[#This Row],[Innovation Project Score]],InnovationProjectResults[Innovation Project Score],0),NumberOfTeams),NumberOfTeams+1)</f>
        <v>1</v>
      </c>
    </row>
    <row r="150" spans="1:14" ht="30" customHeight="1" x14ac:dyDescent="0.45">
      <c r="A150" s="12">
        <f>_xlfn.XLOOKUP(149,OfficialTeamList[Row],OfficialTeamList[Team Number],"ERROR",0)</f>
        <v>0</v>
      </c>
      <c r="B150" s="42" t="str">
        <f>_xlfn.XLOOKUP(InnovationProjectResults[[#This Row],[Team Number]],OfficialTeamList[Team Number],OfficialTeamList[Team Name],"",0,)</f>
        <v/>
      </c>
      <c r="C150" s="44"/>
      <c r="D150" s="44"/>
      <c r="E150" s="44"/>
      <c r="F150" s="44"/>
      <c r="G150" s="44"/>
      <c r="H150" s="44"/>
      <c r="I150" s="44"/>
      <c r="J150" s="44"/>
      <c r="K150" s="44"/>
      <c r="L150" s="44"/>
      <c r="M150" s="12">
        <f>SUM(InnovationProjectResults[[#This Row],[Identify - Define]:[Communicate - Fun (CV)]])</f>
        <v>0</v>
      </c>
      <c r="N150" s="43">
        <f>IF(InnovationProjectResults[[#This Row],[Team Number]]&gt;0,MIN(_xlfn.RANK.EQ(InnovationProjectResults[[#This Row],[Innovation Project Score]],InnovationProjectResults[Innovation Project Score],0),NumberOfTeams),NumberOfTeams+1)</f>
        <v>1</v>
      </c>
    </row>
    <row r="151" spans="1:14" ht="30" customHeight="1" x14ac:dyDescent="0.45">
      <c r="A151" s="12">
        <f>_xlfn.XLOOKUP(150,OfficialTeamList[Row],OfficialTeamList[Team Number],"ERROR",0)</f>
        <v>0</v>
      </c>
      <c r="B151" s="42" t="str">
        <f>_xlfn.XLOOKUP(InnovationProjectResults[[#This Row],[Team Number]],OfficialTeamList[Team Number],OfficialTeamList[Team Name],"",0,)</f>
        <v/>
      </c>
      <c r="C151" s="44"/>
      <c r="D151" s="44"/>
      <c r="E151" s="44"/>
      <c r="F151" s="44"/>
      <c r="G151" s="44"/>
      <c r="H151" s="44"/>
      <c r="I151" s="44"/>
      <c r="J151" s="44"/>
      <c r="K151" s="44"/>
      <c r="L151" s="44"/>
      <c r="M151" s="12">
        <f>SUM(InnovationProjectResults[[#This Row],[Identify - Define]:[Communicate - Fun (CV)]])</f>
        <v>0</v>
      </c>
      <c r="N151" s="43">
        <f>IF(InnovationProjectResults[[#This Row],[Team Number]]&gt;0,MIN(_xlfn.RANK.EQ(InnovationProjectResults[[#This Row],[Innovation Project Score]],InnovationProjectResults[Innovation Project Score],0),NumberOfTeams),NumberOfTeams+1)</f>
        <v>1</v>
      </c>
    </row>
    <row r="152" spans="1:14" ht="30" customHeight="1" x14ac:dyDescent="0.45">
      <c r="A152" s="12">
        <f>_xlfn.XLOOKUP(151,OfficialTeamList[Row],OfficialTeamList[Team Number],"ERROR",0)</f>
        <v>0</v>
      </c>
      <c r="B152" s="42" t="str">
        <f>_xlfn.XLOOKUP(InnovationProjectResults[[#This Row],[Team Number]],OfficialTeamList[Team Number],OfficialTeamList[Team Name],"",0,)</f>
        <v/>
      </c>
      <c r="C152" s="44"/>
      <c r="D152" s="44"/>
      <c r="E152" s="44"/>
      <c r="F152" s="44"/>
      <c r="G152" s="44"/>
      <c r="H152" s="44"/>
      <c r="I152" s="44"/>
      <c r="J152" s="44"/>
      <c r="K152" s="44"/>
      <c r="L152" s="44"/>
      <c r="M152" s="12">
        <f>SUM(InnovationProjectResults[[#This Row],[Identify - Define]:[Communicate - Fun (CV)]])</f>
        <v>0</v>
      </c>
      <c r="N152" s="43">
        <f>IF(InnovationProjectResults[[#This Row],[Team Number]]&gt;0,MIN(_xlfn.RANK.EQ(InnovationProjectResults[[#This Row],[Innovation Project Score]],InnovationProjectResults[Innovation Project Score],0),NumberOfTeams),NumberOfTeams+1)</f>
        <v>1</v>
      </c>
    </row>
    <row r="153" spans="1:14" ht="30" customHeight="1" x14ac:dyDescent="0.45">
      <c r="A153" s="12">
        <f>_xlfn.XLOOKUP(152,OfficialTeamList[Row],OfficialTeamList[Team Number],"ERROR",0)</f>
        <v>0</v>
      </c>
      <c r="B153" s="42" t="str">
        <f>_xlfn.XLOOKUP(InnovationProjectResults[[#This Row],[Team Number]],OfficialTeamList[Team Number],OfficialTeamList[Team Name],"",0,)</f>
        <v/>
      </c>
      <c r="C153" s="44"/>
      <c r="D153" s="44"/>
      <c r="E153" s="44"/>
      <c r="F153" s="44"/>
      <c r="G153" s="44"/>
      <c r="H153" s="44"/>
      <c r="I153" s="44"/>
      <c r="J153" s="44"/>
      <c r="K153" s="44"/>
      <c r="L153" s="44"/>
      <c r="M153" s="12">
        <f>SUM(InnovationProjectResults[[#This Row],[Identify - Define]:[Communicate - Fun (CV)]])</f>
        <v>0</v>
      </c>
      <c r="N153" s="43">
        <f>IF(InnovationProjectResults[[#This Row],[Team Number]]&gt;0,MIN(_xlfn.RANK.EQ(InnovationProjectResults[[#This Row],[Innovation Project Score]],InnovationProjectResults[Innovation Project Score],0),NumberOfTeams),NumberOfTeams+1)</f>
        <v>1</v>
      </c>
    </row>
    <row r="154" spans="1:14" ht="30" customHeight="1" x14ac:dyDescent="0.45">
      <c r="A154" s="12">
        <f>_xlfn.XLOOKUP(153,OfficialTeamList[Row],OfficialTeamList[Team Number],"ERROR",0)</f>
        <v>0</v>
      </c>
      <c r="B154" s="42" t="str">
        <f>_xlfn.XLOOKUP(InnovationProjectResults[[#This Row],[Team Number]],OfficialTeamList[Team Number],OfficialTeamList[Team Name],"",0,)</f>
        <v/>
      </c>
      <c r="C154" s="44"/>
      <c r="D154" s="44"/>
      <c r="E154" s="44"/>
      <c r="F154" s="44"/>
      <c r="G154" s="44"/>
      <c r="H154" s="44"/>
      <c r="I154" s="44"/>
      <c r="J154" s="44"/>
      <c r="K154" s="44"/>
      <c r="L154" s="44"/>
      <c r="M154" s="12">
        <f>SUM(InnovationProjectResults[[#This Row],[Identify - Define]:[Communicate - Fun (CV)]])</f>
        <v>0</v>
      </c>
      <c r="N154" s="43">
        <f>IF(InnovationProjectResults[[#This Row],[Team Number]]&gt;0,MIN(_xlfn.RANK.EQ(InnovationProjectResults[[#This Row],[Innovation Project Score]],InnovationProjectResults[Innovation Project Score],0),NumberOfTeams),NumberOfTeams+1)</f>
        <v>1</v>
      </c>
    </row>
    <row r="155" spans="1:14" ht="30" customHeight="1" x14ac:dyDescent="0.45">
      <c r="A155" s="12">
        <f>_xlfn.XLOOKUP(154,OfficialTeamList[Row],OfficialTeamList[Team Number],"ERROR",0)</f>
        <v>0</v>
      </c>
      <c r="B155" s="42" t="str">
        <f>_xlfn.XLOOKUP(InnovationProjectResults[[#This Row],[Team Number]],OfficialTeamList[Team Number],OfficialTeamList[Team Name],"",0,)</f>
        <v/>
      </c>
      <c r="C155" s="44"/>
      <c r="D155" s="44"/>
      <c r="E155" s="44"/>
      <c r="F155" s="44"/>
      <c r="G155" s="44"/>
      <c r="H155" s="44"/>
      <c r="I155" s="44"/>
      <c r="J155" s="44"/>
      <c r="K155" s="44"/>
      <c r="L155" s="44"/>
      <c r="M155" s="12">
        <f>SUM(InnovationProjectResults[[#This Row],[Identify - Define]:[Communicate - Fun (CV)]])</f>
        <v>0</v>
      </c>
      <c r="N155" s="43">
        <f>IF(InnovationProjectResults[[#This Row],[Team Number]]&gt;0,MIN(_xlfn.RANK.EQ(InnovationProjectResults[[#This Row],[Innovation Project Score]],InnovationProjectResults[Innovation Project Score],0),NumberOfTeams),NumberOfTeams+1)</f>
        <v>1</v>
      </c>
    </row>
    <row r="156" spans="1:14" ht="30" customHeight="1" x14ac:dyDescent="0.45">
      <c r="A156" s="12">
        <f>_xlfn.XLOOKUP(155,OfficialTeamList[Row],OfficialTeamList[Team Number],"ERROR",0)</f>
        <v>0</v>
      </c>
      <c r="B156" s="42" t="str">
        <f>_xlfn.XLOOKUP(InnovationProjectResults[[#This Row],[Team Number]],OfficialTeamList[Team Number],OfficialTeamList[Team Name],"",0,)</f>
        <v/>
      </c>
      <c r="C156" s="44"/>
      <c r="D156" s="44"/>
      <c r="E156" s="44"/>
      <c r="F156" s="44"/>
      <c r="G156" s="44"/>
      <c r="H156" s="44"/>
      <c r="I156" s="44"/>
      <c r="J156" s="44"/>
      <c r="K156" s="44"/>
      <c r="L156" s="44"/>
      <c r="M156" s="12">
        <f>SUM(InnovationProjectResults[[#This Row],[Identify - Define]:[Communicate - Fun (CV)]])</f>
        <v>0</v>
      </c>
      <c r="N156" s="43">
        <f>IF(InnovationProjectResults[[#This Row],[Team Number]]&gt;0,MIN(_xlfn.RANK.EQ(InnovationProjectResults[[#This Row],[Innovation Project Score]],InnovationProjectResults[Innovation Project Score],0),NumberOfTeams),NumberOfTeams+1)</f>
        <v>1</v>
      </c>
    </row>
    <row r="157" spans="1:14" ht="30" customHeight="1" x14ac:dyDescent="0.45">
      <c r="A157" s="12">
        <f>_xlfn.XLOOKUP(156,OfficialTeamList[Row],OfficialTeamList[Team Number],"ERROR",0)</f>
        <v>0</v>
      </c>
      <c r="B157" s="42" t="str">
        <f>_xlfn.XLOOKUP(InnovationProjectResults[[#This Row],[Team Number]],OfficialTeamList[Team Number],OfficialTeamList[Team Name],"",0,)</f>
        <v/>
      </c>
      <c r="C157" s="44"/>
      <c r="D157" s="44"/>
      <c r="E157" s="44"/>
      <c r="F157" s="44"/>
      <c r="G157" s="44"/>
      <c r="H157" s="44"/>
      <c r="I157" s="44"/>
      <c r="J157" s="44"/>
      <c r="K157" s="44"/>
      <c r="L157" s="44"/>
      <c r="M157" s="12">
        <f>SUM(InnovationProjectResults[[#This Row],[Identify - Define]:[Communicate - Fun (CV)]])</f>
        <v>0</v>
      </c>
      <c r="N157" s="43">
        <f>IF(InnovationProjectResults[[#This Row],[Team Number]]&gt;0,MIN(_xlfn.RANK.EQ(InnovationProjectResults[[#This Row],[Innovation Project Score]],InnovationProjectResults[Innovation Project Score],0),NumberOfTeams),NumberOfTeams+1)</f>
        <v>1</v>
      </c>
    </row>
    <row r="158" spans="1:14" ht="30" customHeight="1" x14ac:dyDescent="0.45">
      <c r="A158" s="12">
        <f>_xlfn.XLOOKUP(157,OfficialTeamList[Row],OfficialTeamList[Team Number],"ERROR",0)</f>
        <v>0</v>
      </c>
      <c r="B158" s="42" t="str">
        <f>_xlfn.XLOOKUP(InnovationProjectResults[[#This Row],[Team Number]],OfficialTeamList[Team Number],OfficialTeamList[Team Name],"",0,)</f>
        <v/>
      </c>
      <c r="C158" s="44"/>
      <c r="D158" s="44"/>
      <c r="E158" s="44"/>
      <c r="F158" s="44"/>
      <c r="G158" s="44"/>
      <c r="H158" s="44"/>
      <c r="I158" s="44"/>
      <c r="J158" s="44"/>
      <c r="K158" s="44"/>
      <c r="L158" s="44"/>
      <c r="M158" s="12">
        <f>SUM(InnovationProjectResults[[#This Row],[Identify - Define]:[Communicate - Fun (CV)]])</f>
        <v>0</v>
      </c>
      <c r="N158" s="43">
        <f>IF(InnovationProjectResults[[#This Row],[Team Number]]&gt;0,MIN(_xlfn.RANK.EQ(InnovationProjectResults[[#This Row],[Innovation Project Score]],InnovationProjectResults[Innovation Project Score],0),NumberOfTeams),NumberOfTeams+1)</f>
        <v>1</v>
      </c>
    </row>
    <row r="159" spans="1:14" ht="30" customHeight="1" x14ac:dyDescent="0.45">
      <c r="A159" s="12">
        <f>_xlfn.XLOOKUP(158,OfficialTeamList[Row],OfficialTeamList[Team Number],"ERROR",0)</f>
        <v>0</v>
      </c>
      <c r="B159" s="42" t="str">
        <f>_xlfn.XLOOKUP(InnovationProjectResults[[#This Row],[Team Number]],OfficialTeamList[Team Number],OfficialTeamList[Team Name],"",0,)</f>
        <v/>
      </c>
      <c r="C159" s="44"/>
      <c r="D159" s="44"/>
      <c r="E159" s="44"/>
      <c r="F159" s="44"/>
      <c r="G159" s="44"/>
      <c r="H159" s="44"/>
      <c r="I159" s="44"/>
      <c r="J159" s="44"/>
      <c r="K159" s="44"/>
      <c r="L159" s="44"/>
      <c r="M159" s="12">
        <f>SUM(InnovationProjectResults[[#This Row],[Identify - Define]:[Communicate - Fun (CV)]])</f>
        <v>0</v>
      </c>
      <c r="N159" s="43">
        <f>IF(InnovationProjectResults[[#This Row],[Team Number]]&gt;0,MIN(_xlfn.RANK.EQ(InnovationProjectResults[[#This Row],[Innovation Project Score]],InnovationProjectResults[Innovation Project Score],0),NumberOfTeams),NumberOfTeams+1)</f>
        <v>1</v>
      </c>
    </row>
    <row r="160" spans="1:14" ht="30" customHeight="1" x14ac:dyDescent="0.45">
      <c r="A160" s="12">
        <f>_xlfn.XLOOKUP(159,OfficialTeamList[Row],OfficialTeamList[Team Number],"ERROR",0)</f>
        <v>0</v>
      </c>
      <c r="B160" s="42" t="str">
        <f>_xlfn.XLOOKUP(InnovationProjectResults[[#This Row],[Team Number]],OfficialTeamList[Team Number],OfficialTeamList[Team Name],"",0,)</f>
        <v/>
      </c>
      <c r="C160" s="44"/>
      <c r="D160" s="44"/>
      <c r="E160" s="44"/>
      <c r="F160" s="44"/>
      <c r="G160" s="44"/>
      <c r="H160" s="44"/>
      <c r="I160" s="44"/>
      <c r="J160" s="44"/>
      <c r="K160" s="44"/>
      <c r="L160" s="44"/>
      <c r="M160" s="12">
        <f>SUM(InnovationProjectResults[[#This Row],[Identify - Define]:[Communicate - Fun (CV)]])</f>
        <v>0</v>
      </c>
      <c r="N160" s="43">
        <f>IF(InnovationProjectResults[[#This Row],[Team Number]]&gt;0,MIN(_xlfn.RANK.EQ(InnovationProjectResults[[#This Row],[Innovation Project Score]],InnovationProjectResults[Innovation Project Score],0),NumberOfTeams),NumberOfTeams+1)</f>
        <v>1</v>
      </c>
    </row>
    <row r="161" spans="1:14" ht="30" customHeight="1" x14ac:dyDescent="0.45">
      <c r="A161" s="12">
        <f>_xlfn.XLOOKUP(160,OfficialTeamList[Row],OfficialTeamList[Team Number],"ERROR",0)</f>
        <v>0</v>
      </c>
      <c r="B161" s="42" t="str">
        <f>_xlfn.XLOOKUP(InnovationProjectResults[[#This Row],[Team Number]],OfficialTeamList[Team Number],OfficialTeamList[Team Name],"",0,)</f>
        <v/>
      </c>
      <c r="C161" s="44"/>
      <c r="D161" s="44"/>
      <c r="E161" s="44"/>
      <c r="F161" s="44"/>
      <c r="G161" s="44"/>
      <c r="H161" s="44"/>
      <c r="I161" s="44"/>
      <c r="J161" s="44"/>
      <c r="K161" s="44"/>
      <c r="L161" s="44"/>
      <c r="M161" s="12">
        <f>SUM(InnovationProjectResults[[#This Row],[Identify - Define]:[Communicate - Fun (CV)]])</f>
        <v>0</v>
      </c>
      <c r="N161" s="43">
        <f>IF(InnovationProjectResults[[#This Row],[Team Number]]&gt;0,MIN(_xlfn.RANK.EQ(InnovationProjectResults[[#This Row],[Innovation Project Score]],InnovationProjectResults[Innovation Project Score],0),NumberOfTeams),NumberOfTeams+1)</f>
        <v>1</v>
      </c>
    </row>
    <row r="162" spans="1:14" ht="30" customHeight="1" x14ac:dyDescent="0.45">
      <c r="A162" s="12">
        <f>_xlfn.XLOOKUP(161,OfficialTeamList[Row],OfficialTeamList[Team Number],"ERROR",0)</f>
        <v>0</v>
      </c>
      <c r="B162" s="42" t="str">
        <f>_xlfn.XLOOKUP(InnovationProjectResults[[#This Row],[Team Number]],OfficialTeamList[Team Number],OfficialTeamList[Team Name],"",0,)</f>
        <v/>
      </c>
      <c r="C162" s="44"/>
      <c r="D162" s="44"/>
      <c r="E162" s="44"/>
      <c r="F162" s="44"/>
      <c r="G162" s="44"/>
      <c r="H162" s="44"/>
      <c r="I162" s="44"/>
      <c r="J162" s="44"/>
      <c r="K162" s="44"/>
      <c r="L162" s="44"/>
      <c r="M162" s="12">
        <f>SUM(InnovationProjectResults[[#This Row],[Identify - Define]:[Communicate - Fun (CV)]])</f>
        <v>0</v>
      </c>
      <c r="N162" s="43">
        <f>IF(InnovationProjectResults[[#This Row],[Team Number]]&gt;0,MIN(_xlfn.RANK.EQ(InnovationProjectResults[[#This Row],[Innovation Project Score]],InnovationProjectResults[Innovation Project Score],0),NumberOfTeams),NumberOfTeams+1)</f>
        <v>1</v>
      </c>
    </row>
    <row r="163" spans="1:14" ht="30" customHeight="1" x14ac:dyDescent="0.45">
      <c r="A163" s="12">
        <f>_xlfn.XLOOKUP(162,OfficialTeamList[Row],OfficialTeamList[Team Number],"ERROR",0)</f>
        <v>0</v>
      </c>
      <c r="B163" s="42" t="str">
        <f>_xlfn.XLOOKUP(InnovationProjectResults[[#This Row],[Team Number]],OfficialTeamList[Team Number],OfficialTeamList[Team Name],"",0,)</f>
        <v/>
      </c>
      <c r="C163" s="44"/>
      <c r="D163" s="44"/>
      <c r="E163" s="44"/>
      <c r="F163" s="44"/>
      <c r="G163" s="44"/>
      <c r="H163" s="44"/>
      <c r="I163" s="44"/>
      <c r="J163" s="44"/>
      <c r="K163" s="44"/>
      <c r="L163" s="44"/>
      <c r="M163" s="12">
        <f>SUM(InnovationProjectResults[[#This Row],[Identify - Define]:[Communicate - Fun (CV)]])</f>
        <v>0</v>
      </c>
      <c r="N163" s="43">
        <f>IF(InnovationProjectResults[[#This Row],[Team Number]]&gt;0,MIN(_xlfn.RANK.EQ(InnovationProjectResults[[#This Row],[Innovation Project Score]],InnovationProjectResults[Innovation Project Score],0),NumberOfTeams),NumberOfTeams+1)</f>
        <v>1</v>
      </c>
    </row>
    <row r="164" spans="1:14" ht="30" customHeight="1" x14ac:dyDescent="0.45">
      <c r="A164" s="12">
        <f>_xlfn.XLOOKUP(163,OfficialTeamList[Row],OfficialTeamList[Team Number],"ERROR",0)</f>
        <v>0</v>
      </c>
      <c r="B164" s="42" t="str">
        <f>_xlfn.XLOOKUP(InnovationProjectResults[[#This Row],[Team Number]],OfficialTeamList[Team Number],OfficialTeamList[Team Name],"",0,)</f>
        <v/>
      </c>
      <c r="C164" s="44"/>
      <c r="D164" s="44"/>
      <c r="E164" s="44"/>
      <c r="F164" s="44"/>
      <c r="G164" s="44"/>
      <c r="H164" s="44"/>
      <c r="I164" s="44"/>
      <c r="J164" s="44"/>
      <c r="K164" s="44"/>
      <c r="L164" s="44"/>
      <c r="M164" s="12">
        <f>SUM(InnovationProjectResults[[#This Row],[Identify - Define]:[Communicate - Fun (CV)]])</f>
        <v>0</v>
      </c>
      <c r="N164" s="43">
        <f>IF(InnovationProjectResults[[#This Row],[Team Number]]&gt;0,MIN(_xlfn.RANK.EQ(InnovationProjectResults[[#This Row],[Innovation Project Score]],InnovationProjectResults[Innovation Project Score],0),NumberOfTeams),NumberOfTeams+1)</f>
        <v>1</v>
      </c>
    </row>
    <row r="165" spans="1:14" ht="30" customHeight="1" x14ac:dyDescent="0.45">
      <c r="A165" s="12">
        <f>_xlfn.XLOOKUP(164,OfficialTeamList[Row],OfficialTeamList[Team Number],"ERROR",0)</f>
        <v>0</v>
      </c>
      <c r="B165" s="42" t="str">
        <f>_xlfn.XLOOKUP(InnovationProjectResults[[#This Row],[Team Number]],OfficialTeamList[Team Number],OfficialTeamList[Team Name],"",0,)</f>
        <v/>
      </c>
      <c r="C165" s="44"/>
      <c r="D165" s="44"/>
      <c r="E165" s="44"/>
      <c r="F165" s="44"/>
      <c r="G165" s="44"/>
      <c r="H165" s="44"/>
      <c r="I165" s="44"/>
      <c r="J165" s="44"/>
      <c r="K165" s="44"/>
      <c r="L165" s="44"/>
      <c r="M165" s="12">
        <f>SUM(InnovationProjectResults[[#This Row],[Identify - Define]:[Communicate - Fun (CV)]])</f>
        <v>0</v>
      </c>
      <c r="N165" s="43">
        <f>IF(InnovationProjectResults[[#This Row],[Team Number]]&gt;0,MIN(_xlfn.RANK.EQ(InnovationProjectResults[[#This Row],[Innovation Project Score]],InnovationProjectResults[Innovation Project Score],0),NumberOfTeams),NumberOfTeams+1)</f>
        <v>1</v>
      </c>
    </row>
    <row r="166" spans="1:14" ht="30" customHeight="1" x14ac:dyDescent="0.45">
      <c r="A166" s="12">
        <f>_xlfn.XLOOKUP(165,OfficialTeamList[Row],OfficialTeamList[Team Number],"ERROR",0)</f>
        <v>0</v>
      </c>
      <c r="B166" s="42" t="str">
        <f>_xlfn.XLOOKUP(InnovationProjectResults[[#This Row],[Team Number]],OfficialTeamList[Team Number],OfficialTeamList[Team Name],"",0,)</f>
        <v/>
      </c>
      <c r="C166" s="44"/>
      <c r="D166" s="44"/>
      <c r="E166" s="44"/>
      <c r="F166" s="44"/>
      <c r="G166" s="44"/>
      <c r="H166" s="44"/>
      <c r="I166" s="44"/>
      <c r="J166" s="44"/>
      <c r="K166" s="44"/>
      <c r="L166" s="44"/>
      <c r="M166" s="12">
        <f>SUM(InnovationProjectResults[[#This Row],[Identify - Define]:[Communicate - Fun (CV)]])</f>
        <v>0</v>
      </c>
      <c r="N166" s="43">
        <f>IF(InnovationProjectResults[[#This Row],[Team Number]]&gt;0,MIN(_xlfn.RANK.EQ(InnovationProjectResults[[#This Row],[Innovation Project Score]],InnovationProjectResults[Innovation Project Score],0),NumberOfTeams),NumberOfTeams+1)</f>
        <v>1</v>
      </c>
    </row>
    <row r="167" spans="1:14" ht="30" customHeight="1" x14ac:dyDescent="0.45">
      <c r="A167" s="12">
        <f>_xlfn.XLOOKUP(166,OfficialTeamList[Row],OfficialTeamList[Team Number],"ERROR",0)</f>
        <v>0</v>
      </c>
      <c r="B167" s="42" t="str">
        <f>_xlfn.XLOOKUP(InnovationProjectResults[[#This Row],[Team Number]],OfficialTeamList[Team Number],OfficialTeamList[Team Name],"",0,)</f>
        <v/>
      </c>
      <c r="C167" s="44"/>
      <c r="D167" s="44"/>
      <c r="E167" s="44"/>
      <c r="F167" s="44"/>
      <c r="G167" s="44"/>
      <c r="H167" s="44"/>
      <c r="I167" s="44"/>
      <c r="J167" s="44"/>
      <c r="K167" s="44"/>
      <c r="L167" s="44"/>
      <c r="M167" s="12">
        <f>SUM(InnovationProjectResults[[#This Row],[Identify - Define]:[Communicate - Fun (CV)]])</f>
        <v>0</v>
      </c>
      <c r="N167" s="43">
        <f>IF(InnovationProjectResults[[#This Row],[Team Number]]&gt;0,MIN(_xlfn.RANK.EQ(InnovationProjectResults[[#This Row],[Innovation Project Score]],InnovationProjectResults[Innovation Project Score],0),NumberOfTeams),NumberOfTeams+1)</f>
        <v>1</v>
      </c>
    </row>
    <row r="168" spans="1:14" ht="30" customHeight="1" x14ac:dyDescent="0.45">
      <c r="A168" s="12">
        <f>_xlfn.XLOOKUP(167,OfficialTeamList[Row],OfficialTeamList[Team Number],"ERROR",0)</f>
        <v>0</v>
      </c>
      <c r="B168" s="42" t="str">
        <f>_xlfn.XLOOKUP(InnovationProjectResults[[#This Row],[Team Number]],OfficialTeamList[Team Number],OfficialTeamList[Team Name],"",0,)</f>
        <v/>
      </c>
      <c r="C168" s="44"/>
      <c r="D168" s="44"/>
      <c r="E168" s="44"/>
      <c r="F168" s="44"/>
      <c r="G168" s="44"/>
      <c r="H168" s="44"/>
      <c r="I168" s="44"/>
      <c r="J168" s="44"/>
      <c r="K168" s="44"/>
      <c r="L168" s="44"/>
      <c r="M168" s="12">
        <f>SUM(InnovationProjectResults[[#This Row],[Identify - Define]:[Communicate - Fun (CV)]])</f>
        <v>0</v>
      </c>
      <c r="N168" s="43">
        <f>IF(InnovationProjectResults[[#This Row],[Team Number]]&gt;0,MIN(_xlfn.RANK.EQ(InnovationProjectResults[[#This Row],[Innovation Project Score]],InnovationProjectResults[Innovation Project Score],0),NumberOfTeams),NumberOfTeams+1)</f>
        <v>1</v>
      </c>
    </row>
    <row r="169" spans="1:14" ht="30" customHeight="1" x14ac:dyDescent="0.45">
      <c r="A169" s="12">
        <f>_xlfn.XLOOKUP(168,OfficialTeamList[Row],OfficialTeamList[Team Number],"ERROR",0)</f>
        <v>0</v>
      </c>
      <c r="B169" s="42" t="str">
        <f>_xlfn.XLOOKUP(InnovationProjectResults[[#This Row],[Team Number]],OfficialTeamList[Team Number],OfficialTeamList[Team Name],"",0,)</f>
        <v/>
      </c>
      <c r="C169" s="44"/>
      <c r="D169" s="44"/>
      <c r="E169" s="44"/>
      <c r="F169" s="44"/>
      <c r="G169" s="44"/>
      <c r="H169" s="44"/>
      <c r="I169" s="44"/>
      <c r="J169" s="44"/>
      <c r="K169" s="44"/>
      <c r="L169" s="44"/>
      <c r="M169" s="12">
        <f>SUM(InnovationProjectResults[[#This Row],[Identify - Define]:[Communicate - Fun (CV)]])</f>
        <v>0</v>
      </c>
      <c r="N169" s="43">
        <f>IF(InnovationProjectResults[[#This Row],[Team Number]]&gt;0,MIN(_xlfn.RANK.EQ(InnovationProjectResults[[#This Row],[Innovation Project Score]],InnovationProjectResults[Innovation Project Score],0),NumberOfTeams),NumberOfTeams+1)</f>
        <v>1</v>
      </c>
    </row>
    <row r="170" spans="1:14" ht="30" customHeight="1" x14ac:dyDescent="0.45">
      <c r="A170" s="12">
        <f>_xlfn.XLOOKUP(169,OfficialTeamList[Row],OfficialTeamList[Team Number],"ERROR",0)</f>
        <v>0</v>
      </c>
      <c r="B170" s="42" t="str">
        <f>_xlfn.XLOOKUP(InnovationProjectResults[[#This Row],[Team Number]],OfficialTeamList[Team Number],OfficialTeamList[Team Name],"",0,)</f>
        <v/>
      </c>
      <c r="C170" s="44"/>
      <c r="D170" s="44"/>
      <c r="E170" s="44"/>
      <c r="F170" s="44"/>
      <c r="G170" s="44"/>
      <c r="H170" s="44"/>
      <c r="I170" s="44"/>
      <c r="J170" s="44"/>
      <c r="K170" s="44"/>
      <c r="L170" s="44"/>
      <c r="M170" s="12">
        <f>SUM(InnovationProjectResults[[#This Row],[Identify - Define]:[Communicate - Fun (CV)]])</f>
        <v>0</v>
      </c>
      <c r="N170" s="43">
        <f>IF(InnovationProjectResults[[#This Row],[Team Number]]&gt;0,MIN(_xlfn.RANK.EQ(InnovationProjectResults[[#This Row],[Innovation Project Score]],InnovationProjectResults[Innovation Project Score],0),NumberOfTeams),NumberOfTeams+1)</f>
        <v>1</v>
      </c>
    </row>
    <row r="171" spans="1:14" ht="30" customHeight="1" x14ac:dyDescent="0.45">
      <c r="A171" s="12">
        <f>_xlfn.XLOOKUP(170,OfficialTeamList[Row],OfficialTeamList[Team Number],"ERROR",0)</f>
        <v>0</v>
      </c>
      <c r="B171" s="42" t="str">
        <f>_xlfn.XLOOKUP(InnovationProjectResults[[#This Row],[Team Number]],OfficialTeamList[Team Number],OfficialTeamList[Team Name],"",0,)</f>
        <v/>
      </c>
      <c r="C171" s="44"/>
      <c r="D171" s="44"/>
      <c r="E171" s="44"/>
      <c r="F171" s="44"/>
      <c r="G171" s="44"/>
      <c r="H171" s="44"/>
      <c r="I171" s="44"/>
      <c r="J171" s="44"/>
      <c r="K171" s="44"/>
      <c r="L171" s="44"/>
      <c r="M171" s="12">
        <f>SUM(InnovationProjectResults[[#This Row],[Identify - Define]:[Communicate - Fun (CV)]])</f>
        <v>0</v>
      </c>
      <c r="N171" s="43">
        <f>IF(InnovationProjectResults[[#This Row],[Team Number]]&gt;0,MIN(_xlfn.RANK.EQ(InnovationProjectResults[[#This Row],[Innovation Project Score]],InnovationProjectResults[Innovation Project Score],0),NumberOfTeams),NumberOfTeams+1)</f>
        <v>1</v>
      </c>
    </row>
    <row r="172" spans="1:14" ht="30" customHeight="1" x14ac:dyDescent="0.45">
      <c r="A172" s="12">
        <f>_xlfn.XLOOKUP(171,OfficialTeamList[Row],OfficialTeamList[Team Number],"ERROR",0)</f>
        <v>0</v>
      </c>
      <c r="B172" s="42" t="str">
        <f>_xlfn.XLOOKUP(InnovationProjectResults[[#This Row],[Team Number]],OfficialTeamList[Team Number],OfficialTeamList[Team Name],"",0,)</f>
        <v/>
      </c>
      <c r="C172" s="44"/>
      <c r="D172" s="44"/>
      <c r="E172" s="44"/>
      <c r="F172" s="44"/>
      <c r="G172" s="44"/>
      <c r="H172" s="44"/>
      <c r="I172" s="44"/>
      <c r="J172" s="44"/>
      <c r="K172" s="44"/>
      <c r="L172" s="44"/>
      <c r="M172" s="12">
        <f>SUM(InnovationProjectResults[[#This Row],[Identify - Define]:[Communicate - Fun (CV)]])</f>
        <v>0</v>
      </c>
      <c r="N172" s="43">
        <f>IF(InnovationProjectResults[[#This Row],[Team Number]]&gt;0,MIN(_xlfn.RANK.EQ(InnovationProjectResults[[#This Row],[Innovation Project Score]],InnovationProjectResults[Innovation Project Score],0),NumberOfTeams),NumberOfTeams+1)</f>
        <v>1</v>
      </c>
    </row>
    <row r="173" spans="1:14" ht="30" customHeight="1" x14ac:dyDescent="0.45">
      <c r="A173" s="12">
        <f>_xlfn.XLOOKUP(172,OfficialTeamList[Row],OfficialTeamList[Team Number],"ERROR",0)</f>
        <v>0</v>
      </c>
      <c r="B173" s="42" t="str">
        <f>_xlfn.XLOOKUP(InnovationProjectResults[[#This Row],[Team Number]],OfficialTeamList[Team Number],OfficialTeamList[Team Name],"",0,)</f>
        <v/>
      </c>
      <c r="C173" s="44"/>
      <c r="D173" s="44"/>
      <c r="E173" s="44"/>
      <c r="F173" s="44"/>
      <c r="G173" s="44"/>
      <c r="H173" s="44"/>
      <c r="I173" s="44"/>
      <c r="J173" s="44"/>
      <c r="K173" s="44"/>
      <c r="L173" s="44"/>
      <c r="M173" s="12">
        <f>SUM(InnovationProjectResults[[#This Row],[Identify - Define]:[Communicate - Fun (CV)]])</f>
        <v>0</v>
      </c>
      <c r="N173" s="43">
        <f>IF(InnovationProjectResults[[#This Row],[Team Number]]&gt;0,MIN(_xlfn.RANK.EQ(InnovationProjectResults[[#This Row],[Innovation Project Score]],InnovationProjectResults[Innovation Project Score],0),NumberOfTeams),NumberOfTeams+1)</f>
        <v>1</v>
      </c>
    </row>
    <row r="174" spans="1:14" ht="30" customHeight="1" x14ac:dyDescent="0.45">
      <c r="A174" s="12">
        <f>_xlfn.XLOOKUP(173,OfficialTeamList[Row],OfficialTeamList[Team Number],"ERROR",0)</f>
        <v>0</v>
      </c>
      <c r="B174" s="42" t="str">
        <f>_xlfn.XLOOKUP(InnovationProjectResults[[#This Row],[Team Number]],OfficialTeamList[Team Number],OfficialTeamList[Team Name],"",0,)</f>
        <v/>
      </c>
      <c r="C174" s="44"/>
      <c r="D174" s="44"/>
      <c r="E174" s="44"/>
      <c r="F174" s="44"/>
      <c r="G174" s="44"/>
      <c r="H174" s="44"/>
      <c r="I174" s="44"/>
      <c r="J174" s="44"/>
      <c r="K174" s="44"/>
      <c r="L174" s="44"/>
      <c r="M174" s="12">
        <f>SUM(InnovationProjectResults[[#This Row],[Identify - Define]:[Communicate - Fun (CV)]])</f>
        <v>0</v>
      </c>
      <c r="N174" s="43">
        <f>IF(InnovationProjectResults[[#This Row],[Team Number]]&gt;0,MIN(_xlfn.RANK.EQ(InnovationProjectResults[[#This Row],[Innovation Project Score]],InnovationProjectResults[Innovation Project Score],0),NumberOfTeams),NumberOfTeams+1)</f>
        <v>1</v>
      </c>
    </row>
    <row r="175" spans="1:14" ht="30" customHeight="1" x14ac:dyDescent="0.45">
      <c r="A175" s="12">
        <f>_xlfn.XLOOKUP(174,OfficialTeamList[Row],OfficialTeamList[Team Number],"ERROR",0)</f>
        <v>0</v>
      </c>
      <c r="B175" s="42" t="str">
        <f>_xlfn.XLOOKUP(InnovationProjectResults[[#This Row],[Team Number]],OfficialTeamList[Team Number],OfficialTeamList[Team Name],"",0,)</f>
        <v/>
      </c>
      <c r="C175" s="44"/>
      <c r="D175" s="44"/>
      <c r="E175" s="44"/>
      <c r="F175" s="44"/>
      <c r="G175" s="44"/>
      <c r="H175" s="44"/>
      <c r="I175" s="44"/>
      <c r="J175" s="44"/>
      <c r="K175" s="44"/>
      <c r="L175" s="44"/>
      <c r="M175" s="12">
        <f>SUM(InnovationProjectResults[[#This Row],[Identify - Define]:[Communicate - Fun (CV)]])</f>
        <v>0</v>
      </c>
      <c r="N175" s="43">
        <f>IF(InnovationProjectResults[[#This Row],[Team Number]]&gt;0,MIN(_xlfn.RANK.EQ(InnovationProjectResults[[#This Row],[Innovation Project Score]],InnovationProjectResults[Innovation Project Score],0),NumberOfTeams),NumberOfTeams+1)</f>
        <v>1</v>
      </c>
    </row>
    <row r="176" spans="1:14" ht="30" customHeight="1" x14ac:dyDescent="0.45">
      <c r="A176" s="12">
        <f>_xlfn.XLOOKUP(175,OfficialTeamList[Row],OfficialTeamList[Team Number],"ERROR",0)</f>
        <v>0</v>
      </c>
      <c r="B176" s="42" t="str">
        <f>_xlfn.XLOOKUP(InnovationProjectResults[[#This Row],[Team Number]],OfficialTeamList[Team Number],OfficialTeamList[Team Name],"",0,)</f>
        <v/>
      </c>
      <c r="C176" s="44"/>
      <c r="D176" s="44"/>
      <c r="E176" s="44"/>
      <c r="F176" s="44"/>
      <c r="G176" s="44"/>
      <c r="H176" s="44"/>
      <c r="I176" s="44"/>
      <c r="J176" s="44"/>
      <c r="K176" s="44"/>
      <c r="L176" s="44"/>
      <c r="M176" s="12">
        <f>SUM(InnovationProjectResults[[#This Row],[Identify - Define]:[Communicate - Fun (CV)]])</f>
        <v>0</v>
      </c>
      <c r="N176" s="43">
        <f>IF(InnovationProjectResults[[#This Row],[Team Number]]&gt;0,MIN(_xlfn.RANK.EQ(InnovationProjectResults[[#This Row],[Innovation Project Score]],InnovationProjectResults[Innovation Project Score],0),NumberOfTeams),NumberOfTeams+1)</f>
        <v>1</v>
      </c>
    </row>
    <row r="177" spans="1:14" ht="30" customHeight="1" x14ac:dyDescent="0.45">
      <c r="A177" s="12">
        <f>_xlfn.XLOOKUP(176,OfficialTeamList[Row],OfficialTeamList[Team Number],"ERROR",0)</f>
        <v>0</v>
      </c>
      <c r="B177" s="42" t="str">
        <f>_xlfn.XLOOKUP(InnovationProjectResults[[#This Row],[Team Number]],OfficialTeamList[Team Number],OfficialTeamList[Team Name],"",0,)</f>
        <v/>
      </c>
      <c r="C177" s="44"/>
      <c r="D177" s="44"/>
      <c r="E177" s="44"/>
      <c r="F177" s="44"/>
      <c r="G177" s="44"/>
      <c r="H177" s="44"/>
      <c r="I177" s="44"/>
      <c r="J177" s="44"/>
      <c r="K177" s="44"/>
      <c r="L177" s="44"/>
      <c r="M177" s="12">
        <f>SUM(InnovationProjectResults[[#This Row],[Identify - Define]:[Communicate - Fun (CV)]])</f>
        <v>0</v>
      </c>
      <c r="N177" s="43">
        <f>IF(InnovationProjectResults[[#This Row],[Team Number]]&gt;0,MIN(_xlfn.RANK.EQ(InnovationProjectResults[[#This Row],[Innovation Project Score]],InnovationProjectResults[Innovation Project Score],0),NumberOfTeams),NumberOfTeams+1)</f>
        <v>1</v>
      </c>
    </row>
    <row r="178" spans="1:14" ht="30" customHeight="1" x14ac:dyDescent="0.45">
      <c r="A178" s="12">
        <f>_xlfn.XLOOKUP(177,OfficialTeamList[Row],OfficialTeamList[Team Number],"ERROR",0)</f>
        <v>0</v>
      </c>
      <c r="B178" s="42" t="str">
        <f>_xlfn.XLOOKUP(InnovationProjectResults[[#This Row],[Team Number]],OfficialTeamList[Team Number],OfficialTeamList[Team Name],"",0,)</f>
        <v/>
      </c>
      <c r="C178" s="44"/>
      <c r="D178" s="44"/>
      <c r="E178" s="44"/>
      <c r="F178" s="44"/>
      <c r="G178" s="44"/>
      <c r="H178" s="44"/>
      <c r="I178" s="44"/>
      <c r="J178" s="44"/>
      <c r="K178" s="44"/>
      <c r="L178" s="44"/>
      <c r="M178" s="12">
        <f>SUM(InnovationProjectResults[[#This Row],[Identify - Define]:[Communicate - Fun (CV)]])</f>
        <v>0</v>
      </c>
      <c r="N178" s="43">
        <f>IF(InnovationProjectResults[[#This Row],[Team Number]]&gt;0,MIN(_xlfn.RANK.EQ(InnovationProjectResults[[#This Row],[Innovation Project Score]],InnovationProjectResults[Innovation Project Score],0),NumberOfTeams),NumberOfTeams+1)</f>
        <v>1</v>
      </c>
    </row>
    <row r="179" spans="1:14" ht="30" customHeight="1" x14ac:dyDescent="0.45">
      <c r="A179" s="12">
        <f>_xlfn.XLOOKUP(178,OfficialTeamList[Row],OfficialTeamList[Team Number],"ERROR",0)</f>
        <v>0</v>
      </c>
      <c r="B179" s="42" t="str">
        <f>_xlfn.XLOOKUP(InnovationProjectResults[[#This Row],[Team Number]],OfficialTeamList[Team Number],OfficialTeamList[Team Name],"",0,)</f>
        <v/>
      </c>
      <c r="C179" s="44"/>
      <c r="D179" s="44"/>
      <c r="E179" s="44"/>
      <c r="F179" s="44"/>
      <c r="G179" s="44"/>
      <c r="H179" s="44"/>
      <c r="I179" s="44"/>
      <c r="J179" s="44"/>
      <c r="K179" s="44"/>
      <c r="L179" s="44"/>
      <c r="M179" s="12">
        <f>SUM(InnovationProjectResults[[#This Row],[Identify - Define]:[Communicate - Fun (CV)]])</f>
        <v>0</v>
      </c>
      <c r="N179" s="43">
        <f>IF(InnovationProjectResults[[#This Row],[Team Number]]&gt;0,MIN(_xlfn.RANK.EQ(InnovationProjectResults[[#This Row],[Innovation Project Score]],InnovationProjectResults[Innovation Project Score],0),NumberOfTeams),NumberOfTeams+1)</f>
        <v>1</v>
      </c>
    </row>
    <row r="180" spans="1:14" ht="30" customHeight="1" x14ac:dyDescent="0.45">
      <c r="A180" s="12">
        <f>_xlfn.XLOOKUP(179,OfficialTeamList[Row],OfficialTeamList[Team Number],"ERROR",0)</f>
        <v>0</v>
      </c>
      <c r="B180" s="42" t="str">
        <f>_xlfn.XLOOKUP(InnovationProjectResults[[#This Row],[Team Number]],OfficialTeamList[Team Number],OfficialTeamList[Team Name],"",0,)</f>
        <v/>
      </c>
      <c r="C180" s="44"/>
      <c r="D180" s="44"/>
      <c r="E180" s="44"/>
      <c r="F180" s="44"/>
      <c r="G180" s="44"/>
      <c r="H180" s="44"/>
      <c r="I180" s="44"/>
      <c r="J180" s="44"/>
      <c r="K180" s="44"/>
      <c r="L180" s="44"/>
      <c r="M180" s="12">
        <f>SUM(InnovationProjectResults[[#This Row],[Identify - Define]:[Communicate - Fun (CV)]])</f>
        <v>0</v>
      </c>
      <c r="N180" s="43">
        <f>IF(InnovationProjectResults[[#This Row],[Team Number]]&gt;0,MIN(_xlfn.RANK.EQ(InnovationProjectResults[[#This Row],[Innovation Project Score]],InnovationProjectResults[Innovation Project Score],0),NumberOfTeams),NumberOfTeams+1)</f>
        <v>1</v>
      </c>
    </row>
    <row r="181" spans="1:14" ht="30" customHeight="1" x14ac:dyDescent="0.45">
      <c r="A181" s="12">
        <f>_xlfn.XLOOKUP(180,OfficialTeamList[Row],OfficialTeamList[Team Number],"ERROR",0)</f>
        <v>0</v>
      </c>
      <c r="B181" s="42" t="str">
        <f>_xlfn.XLOOKUP(InnovationProjectResults[[#This Row],[Team Number]],OfficialTeamList[Team Number],OfficialTeamList[Team Name],"",0,)</f>
        <v/>
      </c>
      <c r="C181" s="44"/>
      <c r="D181" s="44"/>
      <c r="E181" s="44"/>
      <c r="F181" s="44"/>
      <c r="G181" s="44"/>
      <c r="H181" s="44"/>
      <c r="I181" s="44"/>
      <c r="J181" s="44"/>
      <c r="K181" s="44"/>
      <c r="L181" s="44"/>
      <c r="M181" s="12">
        <f>SUM(InnovationProjectResults[[#This Row],[Identify - Define]:[Communicate - Fun (CV)]])</f>
        <v>0</v>
      </c>
      <c r="N181" s="43">
        <f>IF(InnovationProjectResults[[#This Row],[Team Number]]&gt;0,MIN(_xlfn.RANK.EQ(InnovationProjectResults[[#This Row],[Innovation Project Score]],InnovationProjectResults[Innovation Project Score],0),NumberOfTeams),NumberOfTeams+1)</f>
        <v>1</v>
      </c>
    </row>
    <row r="182" spans="1:14" ht="30" customHeight="1" x14ac:dyDescent="0.45">
      <c r="A182" s="12">
        <f>_xlfn.XLOOKUP(181,OfficialTeamList[Row],OfficialTeamList[Team Number],"ERROR",0)</f>
        <v>0</v>
      </c>
      <c r="B182" s="42" t="str">
        <f>_xlfn.XLOOKUP(InnovationProjectResults[[#This Row],[Team Number]],OfficialTeamList[Team Number],OfficialTeamList[Team Name],"",0,)</f>
        <v/>
      </c>
      <c r="C182" s="44"/>
      <c r="D182" s="44"/>
      <c r="E182" s="44"/>
      <c r="F182" s="44"/>
      <c r="G182" s="44"/>
      <c r="H182" s="44"/>
      <c r="I182" s="44"/>
      <c r="J182" s="44"/>
      <c r="K182" s="44"/>
      <c r="L182" s="44"/>
      <c r="M182" s="12">
        <f>SUM(InnovationProjectResults[[#This Row],[Identify - Define]:[Communicate - Fun (CV)]])</f>
        <v>0</v>
      </c>
      <c r="N182" s="43">
        <f>IF(InnovationProjectResults[[#This Row],[Team Number]]&gt;0,MIN(_xlfn.RANK.EQ(InnovationProjectResults[[#This Row],[Innovation Project Score]],InnovationProjectResults[Innovation Project Score],0),NumberOfTeams),NumberOfTeams+1)</f>
        <v>1</v>
      </c>
    </row>
    <row r="183" spans="1:14" ht="30" customHeight="1" x14ac:dyDescent="0.45">
      <c r="A183" s="12">
        <f>_xlfn.XLOOKUP(182,OfficialTeamList[Row],OfficialTeamList[Team Number],"ERROR",0)</f>
        <v>0</v>
      </c>
      <c r="B183" s="42" t="str">
        <f>_xlfn.XLOOKUP(InnovationProjectResults[[#This Row],[Team Number]],OfficialTeamList[Team Number],OfficialTeamList[Team Name],"",0,)</f>
        <v/>
      </c>
      <c r="C183" s="44"/>
      <c r="D183" s="44"/>
      <c r="E183" s="44"/>
      <c r="F183" s="44"/>
      <c r="G183" s="44"/>
      <c r="H183" s="44"/>
      <c r="I183" s="44"/>
      <c r="J183" s="44"/>
      <c r="K183" s="44"/>
      <c r="L183" s="44"/>
      <c r="M183" s="12">
        <f>SUM(InnovationProjectResults[[#This Row],[Identify - Define]:[Communicate - Fun (CV)]])</f>
        <v>0</v>
      </c>
      <c r="N183" s="43">
        <f>IF(InnovationProjectResults[[#This Row],[Team Number]]&gt;0,MIN(_xlfn.RANK.EQ(InnovationProjectResults[[#This Row],[Innovation Project Score]],InnovationProjectResults[Innovation Project Score],0),NumberOfTeams),NumberOfTeams+1)</f>
        <v>1</v>
      </c>
    </row>
    <row r="184" spans="1:14" ht="30" customHeight="1" x14ac:dyDescent="0.45">
      <c r="A184" s="12">
        <f>_xlfn.XLOOKUP(183,OfficialTeamList[Row],OfficialTeamList[Team Number],"ERROR",0)</f>
        <v>0</v>
      </c>
      <c r="B184" s="42" t="str">
        <f>_xlfn.XLOOKUP(InnovationProjectResults[[#This Row],[Team Number]],OfficialTeamList[Team Number],OfficialTeamList[Team Name],"",0,)</f>
        <v/>
      </c>
      <c r="C184" s="44"/>
      <c r="D184" s="44"/>
      <c r="E184" s="44"/>
      <c r="F184" s="44"/>
      <c r="G184" s="44"/>
      <c r="H184" s="44"/>
      <c r="I184" s="44"/>
      <c r="J184" s="44"/>
      <c r="K184" s="44"/>
      <c r="L184" s="44"/>
      <c r="M184" s="12">
        <f>SUM(InnovationProjectResults[[#This Row],[Identify - Define]:[Communicate - Fun (CV)]])</f>
        <v>0</v>
      </c>
      <c r="N184" s="43">
        <f>IF(InnovationProjectResults[[#This Row],[Team Number]]&gt;0,MIN(_xlfn.RANK.EQ(InnovationProjectResults[[#This Row],[Innovation Project Score]],InnovationProjectResults[Innovation Project Score],0),NumberOfTeams),NumberOfTeams+1)</f>
        <v>1</v>
      </c>
    </row>
    <row r="185" spans="1:14" ht="30" customHeight="1" x14ac:dyDescent="0.45">
      <c r="A185" s="12">
        <f>_xlfn.XLOOKUP(184,OfficialTeamList[Row],OfficialTeamList[Team Number],"ERROR",0)</f>
        <v>0</v>
      </c>
      <c r="B185" s="42" t="str">
        <f>_xlfn.XLOOKUP(InnovationProjectResults[[#This Row],[Team Number]],OfficialTeamList[Team Number],OfficialTeamList[Team Name],"",0,)</f>
        <v/>
      </c>
      <c r="C185" s="44"/>
      <c r="D185" s="44"/>
      <c r="E185" s="44"/>
      <c r="F185" s="44"/>
      <c r="G185" s="44"/>
      <c r="H185" s="44"/>
      <c r="I185" s="44"/>
      <c r="J185" s="44"/>
      <c r="K185" s="44"/>
      <c r="L185" s="44"/>
      <c r="M185" s="12">
        <f>SUM(InnovationProjectResults[[#This Row],[Identify - Define]:[Communicate - Fun (CV)]])</f>
        <v>0</v>
      </c>
      <c r="N185" s="43">
        <f>IF(InnovationProjectResults[[#This Row],[Team Number]]&gt;0,MIN(_xlfn.RANK.EQ(InnovationProjectResults[[#This Row],[Innovation Project Score]],InnovationProjectResults[Innovation Project Score],0),NumberOfTeams),NumberOfTeams+1)</f>
        <v>1</v>
      </c>
    </row>
    <row r="186" spans="1:14" ht="30" customHeight="1" x14ac:dyDescent="0.45">
      <c r="A186" s="12">
        <f>_xlfn.XLOOKUP(185,OfficialTeamList[Row],OfficialTeamList[Team Number],"ERROR",0)</f>
        <v>0</v>
      </c>
      <c r="B186" s="42" t="str">
        <f>_xlfn.XLOOKUP(InnovationProjectResults[[#This Row],[Team Number]],OfficialTeamList[Team Number],OfficialTeamList[Team Name],"",0,)</f>
        <v/>
      </c>
      <c r="C186" s="44"/>
      <c r="D186" s="44"/>
      <c r="E186" s="44"/>
      <c r="F186" s="44"/>
      <c r="G186" s="44"/>
      <c r="H186" s="44"/>
      <c r="I186" s="44"/>
      <c r="J186" s="44"/>
      <c r="K186" s="44"/>
      <c r="L186" s="44"/>
      <c r="M186" s="12">
        <f>SUM(InnovationProjectResults[[#This Row],[Identify - Define]:[Communicate - Fun (CV)]])</f>
        <v>0</v>
      </c>
      <c r="N186" s="43">
        <f>IF(InnovationProjectResults[[#This Row],[Team Number]]&gt;0,MIN(_xlfn.RANK.EQ(InnovationProjectResults[[#This Row],[Innovation Project Score]],InnovationProjectResults[Innovation Project Score],0),NumberOfTeams),NumberOfTeams+1)</f>
        <v>1</v>
      </c>
    </row>
    <row r="187" spans="1:14" ht="30" customHeight="1" x14ac:dyDescent="0.45">
      <c r="A187" s="12">
        <f>_xlfn.XLOOKUP(186,OfficialTeamList[Row],OfficialTeamList[Team Number],"ERROR",0)</f>
        <v>0</v>
      </c>
      <c r="B187" s="42" t="str">
        <f>_xlfn.XLOOKUP(InnovationProjectResults[[#This Row],[Team Number]],OfficialTeamList[Team Number],OfficialTeamList[Team Name],"",0,)</f>
        <v/>
      </c>
      <c r="C187" s="44"/>
      <c r="D187" s="44"/>
      <c r="E187" s="44"/>
      <c r="F187" s="44"/>
      <c r="G187" s="44"/>
      <c r="H187" s="44"/>
      <c r="I187" s="44"/>
      <c r="J187" s="44"/>
      <c r="K187" s="44"/>
      <c r="L187" s="44"/>
      <c r="M187" s="12">
        <f>SUM(InnovationProjectResults[[#This Row],[Identify - Define]:[Communicate - Fun (CV)]])</f>
        <v>0</v>
      </c>
      <c r="N187" s="43">
        <f>IF(InnovationProjectResults[[#This Row],[Team Number]]&gt;0,MIN(_xlfn.RANK.EQ(InnovationProjectResults[[#This Row],[Innovation Project Score]],InnovationProjectResults[Innovation Project Score],0),NumberOfTeams),NumberOfTeams+1)</f>
        <v>1</v>
      </c>
    </row>
    <row r="188" spans="1:14" ht="30" customHeight="1" x14ac:dyDescent="0.45">
      <c r="A188" s="12">
        <f>_xlfn.XLOOKUP(187,OfficialTeamList[Row],OfficialTeamList[Team Number],"ERROR",0)</f>
        <v>0</v>
      </c>
      <c r="B188" s="42" t="str">
        <f>_xlfn.XLOOKUP(InnovationProjectResults[[#This Row],[Team Number]],OfficialTeamList[Team Number],OfficialTeamList[Team Name],"",0,)</f>
        <v/>
      </c>
      <c r="C188" s="44"/>
      <c r="D188" s="44"/>
      <c r="E188" s="44"/>
      <c r="F188" s="44"/>
      <c r="G188" s="44"/>
      <c r="H188" s="44"/>
      <c r="I188" s="44"/>
      <c r="J188" s="44"/>
      <c r="K188" s="44"/>
      <c r="L188" s="44"/>
      <c r="M188" s="12">
        <f>SUM(InnovationProjectResults[[#This Row],[Identify - Define]:[Communicate - Fun (CV)]])</f>
        <v>0</v>
      </c>
      <c r="N188" s="43">
        <f>IF(InnovationProjectResults[[#This Row],[Team Number]]&gt;0,MIN(_xlfn.RANK.EQ(InnovationProjectResults[[#This Row],[Innovation Project Score]],InnovationProjectResults[Innovation Project Score],0),NumberOfTeams),NumberOfTeams+1)</f>
        <v>1</v>
      </c>
    </row>
    <row r="189" spans="1:14" ht="30" customHeight="1" x14ac:dyDescent="0.45">
      <c r="A189" s="12">
        <f>_xlfn.XLOOKUP(188,OfficialTeamList[Row],OfficialTeamList[Team Number],"ERROR",0)</f>
        <v>0</v>
      </c>
      <c r="B189" s="42" t="str">
        <f>_xlfn.XLOOKUP(InnovationProjectResults[[#This Row],[Team Number]],OfficialTeamList[Team Number],OfficialTeamList[Team Name],"",0,)</f>
        <v/>
      </c>
      <c r="C189" s="44"/>
      <c r="D189" s="44"/>
      <c r="E189" s="44"/>
      <c r="F189" s="44"/>
      <c r="G189" s="44"/>
      <c r="H189" s="44"/>
      <c r="I189" s="44"/>
      <c r="J189" s="44"/>
      <c r="K189" s="44"/>
      <c r="L189" s="44"/>
      <c r="M189" s="12">
        <f>SUM(InnovationProjectResults[[#This Row],[Identify - Define]:[Communicate - Fun (CV)]])</f>
        <v>0</v>
      </c>
      <c r="N189" s="43">
        <f>IF(InnovationProjectResults[[#This Row],[Team Number]]&gt;0,MIN(_xlfn.RANK.EQ(InnovationProjectResults[[#This Row],[Innovation Project Score]],InnovationProjectResults[Innovation Project Score],0),NumberOfTeams),NumberOfTeams+1)</f>
        <v>1</v>
      </c>
    </row>
    <row r="190" spans="1:14" ht="30" customHeight="1" x14ac:dyDescent="0.45">
      <c r="A190" s="12">
        <f>_xlfn.XLOOKUP(189,OfficialTeamList[Row],OfficialTeamList[Team Number],"ERROR",0)</f>
        <v>0</v>
      </c>
      <c r="B190" s="42" t="str">
        <f>_xlfn.XLOOKUP(InnovationProjectResults[[#This Row],[Team Number]],OfficialTeamList[Team Number],OfficialTeamList[Team Name],"",0,)</f>
        <v/>
      </c>
      <c r="C190" s="44"/>
      <c r="D190" s="44"/>
      <c r="E190" s="44"/>
      <c r="F190" s="44"/>
      <c r="G190" s="44"/>
      <c r="H190" s="44"/>
      <c r="I190" s="44"/>
      <c r="J190" s="44"/>
      <c r="K190" s="44"/>
      <c r="L190" s="44"/>
      <c r="M190" s="12">
        <f>SUM(InnovationProjectResults[[#This Row],[Identify - Define]:[Communicate - Fun (CV)]])</f>
        <v>0</v>
      </c>
      <c r="N190" s="43">
        <f>IF(InnovationProjectResults[[#This Row],[Team Number]]&gt;0,MIN(_xlfn.RANK.EQ(InnovationProjectResults[[#This Row],[Innovation Project Score]],InnovationProjectResults[Innovation Project Score],0),NumberOfTeams),NumberOfTeams+1)</f>
        <v>1</v>
      </c>
    </row>
    <row r="191" spans="1:14" ht="30" customHeight="1" x14ac:dyDescent="0.45">
      <c r="A191" s="12">
        <f>_xlfn.XLOOKUP(190,OfficialTeamList[Row],OfficialTeamList[Team Number],"ERROR",0)</f>
        <v>0</v>
      </c>
      <c r="B191" s="42" t="str">
        <f>_xlfn.XLOOKUP(InnovationProjectResults[[#This Row],[Team Number]],OfficialTeamList[Team Number],OfficialTeamList[Team Name],"",0,)</f>
        <v/>
      </c>
      <c r="C191" s="44"/>
      <c r="D191" s="44"/>
      <c r="E191" s="44"/>
      <c r="F191" s="44"/>
      <c r="G191" s="44"/>
      <c r="H191" s="44"/>
      <c r="I191" s="44"/>
      <c r="J191" s="44"/>
      <c r="K191" s="44"/>
      <c r="L191" s="44"/>
      <c r="M191" s="12">
        <f>SUM(InnovationProjectResults[[#This Row],[Identify - Define]:[Communicate - Fun (CV)]])</f>
        <v>0</v>
      </c>
      <c r="N191" s="43">
        <f>IF(InnovationProjectResults[[#This Row],[Team Number]]&gt;0,MIN(_xlfn.RANK.EQ(InnovationProjectResults[[#This Row],[Innovation Project Score]],InnovationProjectResults[Innovation Project Score],0),NumberOfTeams),NumberOfTeams+1)</f>
        <v>1</v>
      </c>
    </row>
    <row r="192" spans="1:14" ht="30" customHeight="1" x14ac:dyDescent="0.45">
      <c r="A192" s="12">
        <f>_xlfn.XLOOKUP(191,OfficialTeamList[Row],OfficialTeamList[Team Number],"ERROR",0)</f>
        <v>0</v>
      </c>
      <c r="B192" s="42" t="str">
        <f>_xlfn.XLOOKUP(InnovationProjectResults[[#This Row],[Team Number]],OfficialTeamList[Team Number],OfficialTeamList[Team Name],"",0,)</f>
        <v/>
      </c>
      <c r="C192" s="44"/>
      <c r="D192" s="44"/>
      <c r="E192" s="44"/>
      <c r="F192" s="44"/>
      <c r="G192" s="44"/>
      <c r="H192" s="44"/>
      <c r="I192" s="44"/>
      <c r="J192" s="44"/>
      <c r="K192" s="44"/>
      <c r="L192" s="44"/>
      <c r="M192" s="12">
        <f>SUM(InnovationProjectResults[[#This Row],[Identify - Define]:[Communicate - Fun (CV)]])</f>
        <v>0</v>
      </c>
      <c r="N192" s="43">
        <f>IF(InnovationProjectResults[[#This Row],[Team Number]]&gt;0,MIN(_xlfn.RANK.EQ(InnovationProjectResults[[#This Row],[Innovation Project Score]],InnovationProjectResults[Innovation Project Score],0),NumberOfTeams),NumberOfTeams+1)</f>
        <v>1</v>
      </c>
    </row>
    <row r="193" spans="1:14" ht="30" customHeight="1" x14ac:dyDescent="0.45">
      <c r="A193" s="12">
        <f>_xlfn.XLOOKUP(192,OfficialTeamList[Row],OfficialTeamList[Team Number],"ERROR",0)</f>
        <v>0</v>
      </c>
      <c r="B193" s="42" t="str">
        <f>_xlfn.XLOOKUP(InnovationProjectResults[[#This Row],[Team Number]],OfficialTeamList[Team Number],OfficialTeamList[Team Name],"",0,)</f>
        <v/>
      </c>
      <c r="C193" s="44"/>
      <c r="D193" s="44"/>
      <c r="E193" s="44"/>
      <c r="F193" s="44"/>
      <c r="G193" s="44"/>
      <c r="H193" s="44"/>
      <c r="I193" s="44"/>
      <c r="J193" s="44"/>
      <c r="K193" s="44"/>
      <c r="L193" s="44"/>
      <c r="M193" s="12">
        <f>SUM(InnovationProjectResults[[#This Row],[Identify - Define]:[Communicate - Fun (CV)]])</f>
        <v>0</v>
      </c>
      <c r="N193" s="43">
        <f>IF(InnovationProjectResults[[#This Row],[Team Number]]&gt;0,MIN(_xlfn.RANK.EQ(InnovationProjectResults[[#This Row],[Innovation Project Score]],InnovationProjectResults[Innovation Project Score],0),NumberOfTeams),NumberOfTeams+1)</f>
        <v>1</v>
      </c>
    </row>
    <row r="194" spans="1:14" ht="30" customHeight="1" x14ac:dyDescent="0.45">
      <c r="A194" s="12">
        <f>_xlfn.XLOOKUP(193,OfficialTeamList[Row],OfficialTeamList[Team Number],"ERROR",0)</f>
        <v>0</v>
      </c>
      <c r="B194" s="42" t="str">
        <f>_xlfn.XLOOKUP(InnovationProjectResults[[#This Row],[Team Number]],OfficialTeamList[Team Number],OfficialTeamList[Team Name],"",0,)</f>
        <v/>
      </c>
      <c r="C194" s="44"/>
      <c r="D194" s="44"/>
      <c r="E194" s="44"/>
      <c r="F194" s="44"/>
      <c r="G194" s="44"/>
      <c r="H194" s="44"/>
      <c r="I194" s="44"/>
      <c r="J194" s="44"/>
      <c r="K194" s="44"/>
      <c r="L194" s="44"/>
      <c r="M194" s="12">
        <f>SUM(InnovationProjectResults[[#This Row],[Identify - Define]:[Communicate - Fun (CV)]])</f>
        <v>0</v>
      </c>
      <c r="N194" s="43">
        <f>IF(InnovationProjectResults[[#This Row],[Team Number]]&gt;0,MIN(_xlfn.RANK.EQ(InnovationProjectResults[[#This Row],[Innovation Project Score]],InnovationProjectResults[Innovation Project Score],0),NumberOfTeams),NumberOfTeams+1)</f>
        <v>1</v>
      </c>
    </row>
    <row r="195" spans="1:14" ht="30" customHeight="1" x14ac:dyDescent="0.45">
      <c r="A195" s="12">
        <f>_xlfn.XLOOKUP(194,OfficialTeamList[Row],OfficialTeamList[Team Number],"ERROR",0)</f>
        <v>0</v>
      </c>
      <c r="B195" s="42" t="str">
        <f>_xlfn.XLOOKUP(InnovationProjectResults[[#This Row],[Team Number]],OfficialTeamList[Team Number],OfficialTeamList[Team Name],"",0,)</f>
        <v/>
      </c>
      <c r="C195" s="44"/>
      <c r="D195" s="44"/>
      <c r="E195" s="44"/>
      <c r="F195" s="44"/>
      <c r="G195" s="44"/>
      <c r="H195" s="44"/>
      <c r="I195" s="44"/>
      <c r="J195" s="44"/>
      <c r="K195" s="44"/>
      <c r="L195" s="44"/>
      <c r="M195" s="12">
        <f>SUM(InnovationProjectResults[[#This Row],[Identify - Define]:[Communicate - Fun (CV)]])</f>
        <v>0</v>
      </c>
      <c r="N195" s="43">
        <f>IF(InnovationProjectResults[[#This Row],[Team Number]]&gt;0,MIN(_xlfn.RANK.EQ(InnovationProjectResults[[#This Row],[Innovation Project Score]],InnovationProjectResults[Innovation Project Score],0),NumberOfTeams),NumberOfTeams+1)</f>
        <v>1</v>
      </c>
    </row>
    <row r="196" spans="1:14" ht="30" customHeight="1" x14ac:dyDescent="0.45">
      <c r="A196" s="12">
        <f>_xlfn.XLOOKUP(195,OfficialTeamList[Row],OfficialTeamList[Team Number],"ERROR",0)</f>
        <v>0</v>
      </c>
      <c r="B196" s="42" t="str">
        <f>_xlfn.XLOOKUP(InnovationProjectResults[[#This Row],[Team Number]],OfficialTeamList[Team Number],OfficialTeamList[Team Name],"",0,)</f>
        <v/>
      </c>
      <c r="C196" s="44"/>
      <c r="D196" s="44"/>
      <c r="E196" s="44"/>
      <c r="F196" s="44"/>
      <c r="G196" s="44"/>
      <c r="H196" s="44"/>
      <c r="I196" s="44"/>
      <c r="J196" s="44"/>
      <c r="K196" s="44"/>
      <c r="L196" s="44"/>
      <c r="M196" s="12">
        <f>SUM(InnovationProjectResults[[#This Row],[Identify - Define]:[Communicate - Fun (CV)]])</f>
        <v>0</v>
      </c>
      <c r="N196" s="43">
        <f>IF(InnovationProjectResults[[#This Row],[Team Number]]&gt;0,MIN(_xlfn.RANK.EQ(InnovationProjectResults[[#This Row],[Innovation Project Score]],InnovationProjectResults[Innovation Project Score],0),NumberOfTeams),NumberOfTeams+1)</f>
        <v>1</v>
      </c>
    </row>
    <row r="197" spans="1:14" ht="30" customHeight="1" x14ac:dyDescent="0.45">
      <c r="A197" s="12">
        <f>_xlfn.XLOOKUP(196,OfficialTeamList[Row],OfficialTeamList[Team Number],"ERROR",0)</f>
        <v>0</v>
      </c>
      <c r="B197" s="42" t="str">
        <f>_xlfn.XLOOKUP(InnovationProjectResults[[#This Row],[Team Number]],OfficialTeamList[Team Number],OfficialTeamList[Team Name],"",0,)</f>
        <v/>
      </c>
      <c r="C197" s="44"/>
      <c r="D197" s="44"/>
      <c r="E197" s="44"/>
      <c r="F197" s="44"/>
      <c r="G197" s="44"/>
      <c r="H197" s="44"/>
      <c r="I197" s="44"/>
      <c r="J197" s="44"/>
      <c r="K197" s="44"/>
      <c r="L197" s="44"/>
      <c r="M197" s="12">
        <f>SUM(InnovationProjectResults[[#This Row],[Identify - Define]:[Communicate - Fun (CV)]])</f>
        <v>0</v>
      </c>
      <c r="N197" s="43">
        <f>IF(InnovationProjectResults[[#This Row],[Team Number]]&gt;0,MIN(_xlfn.RANK.EQ(InnovationProjectResults[[#This Row],[Innovation Project Score]],InnovationProjectResults[Innovation Project Score],0),NumberOfTeams),NumberOfTeams+1)</f>
        <v>1</v>
      </c>
    </row>
    <row r="198" spans="1:14" ht="30" customHeight="1" x14ac:dyDescent="0.45">
      <c r="A198" s="12">
        <f>_xlfn.XLOOKUP(197,OfficialTeamList[Row],OfficialTeamList[Team Number],"ERROR",0)</f>
        <v>0</v>
      </c>
      <c r="B198" s="42" t="str">
        <f>_xlfn.XLOOKUP(InnovationProjectResults[[#This Row],[Team Number]],OfficialTeamList[Team Number],OfficialTeamList[Team Name],"",0,)</f>
        <v/>
      </c>
      <c r="C198" s="44"/>
      <c r="D198" s="44"/>
      <c r="E198" s="44"/>
      <c r="F198" s="44"/>
      <c r="G198" s="44"/>
      <c r="H198" s="44"/>
      <c r="I198" s="44"/>
      <c r="J198" s="44"/>
      <c r="K198" s="44"/>
      <c r="L198" s="44"/>
      <c r="M198" s="12">
        <f>SUM(InnovationProjectResults[[#This Row],[Identify - Define]:[Communicate - Fun (CV)]])</f>
        <v>0</v>
      </c>
      <c r="N198" s="43">
        <f>IF(InnovationProjectResults[[#This Row],[Team Number]]&gt;0,MIN(_xlfn.RANK.EQ(InnovationProjectResults[[#This Row],[Innovation Project Score]],InnovationProjectResults[Innovation Project Score],0),NumberOfTeams),NumberOfTeams+1)</f>
        <v>1</v>
      </c>
    </row>
    <row r="199" spans="1:14" ht="30" customHeight="1" x14ac:dyDescent="0.45">
      <c r="A199" s="12">
        <f>_xlfn.XLOOKUP(198,OfficialTeamList[Row],OfficialTeamList[Team Number],"ERROR",0)</f>
        <v>0</v>
      </c>
      <c r="B199" s="42" t="str">
        <f>_xlfn.XLOOKUP(InnovationProjectResults[[#This Row],[Team Number]],OfficialTeamList[Team Number],OfficialTeamList[Team Name],"",0,)</f>
        <v/>
      </c>
      <c r="C199" s="44"/>
      <c r="D199" s="44"/>
      <c r="E199" s="44"/>
      <c r="F199" s="44"/>
      <c r="G199" s="44"/>
      <c r="H199" s="44"/>
      <c r="I199" s="44"/>
      <c r="J199" s="44"/>
      <c r="K199" s="44"/>
      <c r="L199" s="44"/>
      <c r="M199" s="12">
        <f>SUM(InnovationProjectResults[[#This Row],[Identify - Define]:[Communicate - Fun (CV)]])</f>
        <v>0</v>
      </c>
      <c r="N199" s="43">
        <f>IF(InnovationProjectResults[[#This Row],[Team Number]]&gt;0,MIN(_xlfn.RANK.EQ(InnovationProjectResults[[#This Row],[Innovation Project Score]],InnovationProjectResults[Innovation Project Score],0),NumberOfTeams),NumberOfTeams+1)</f>
        <v>1</v>
      </c>
    </row>
    <row r="200" spans="1:14" ht="30" customHeight="1" x14ac:dyDescent="0.45">
      <c r="A200" s="12">
        <f>_xlfn.XLOOKUP(199,OfficialTeamList[Row],OfficialTeamList[Team Number],"ERROR",0)</f>
        <v>0</v>
      </c>
      <c r="B200" s="42" t="str">
        <f>_xlfn.XLOOKUP(InnovationProjectResults[[#This Row],[Team Number]],OfficialTeamList[Team Number],OfficialTeamList[Team Name],"",0,)</f>
        <v/>
      </c>
      <c r="C200" s="44"/>
      <c r="D200" s="44"/>
      <c r="E200" s="44"/>
      <c r="F200" s="44"/>
      <c r="G200" s="44"/>
      <c r="H200" s="44"/>
      <c r="I200" s="44"/>
      <c r="J200" s="44"/>
      <c r="K200" s="44"/>
      <c r="L200" s="44"/>
      <c r="M200" s="12">
        <f>SUM(InnovationProjectResults[[#This Row],[Identify - Define]:[Communicate - Fun (CV)]])</f>
        <v>0</v>
      </c>
      <c r="N200" s="43">
        <f>IF(InnovationProjectResults[[#This Row],[Team Number]]&gt;0,MIN(_xlfn.RANK.EQ(InnovationProjectResults[[#This Row],[Innovation Project Score]],InnovationProjectResults[Innovation Project Score],0),NumberOfTeams),NumberOfTeams+1)</f>
        <v>1</v>
      </c>
    </row>
    <row r="201" spans="1:14" ht="30" customHeight="1" x14ac:dyDescent="0.45">
      <c r="A201" s="12">
        <f>_xlfn.XLOOKUP(200,OfficialTeamList[Row],OfficialTeamList[Team Number],"ERROR",0)</f>
        <v>0</v>
      </c>
      <c r="B201" s="42" t="str">
        <f>_xlfn.XLOOKUP(InnovationProjectResults[[#This Row],[Team Number]],OfficialTeamList[Team Number],OfficialTeamList[Team Name],"",0,)</f>
        <v/>
      </c>
      <c r="C201" s="44"/>
      <c r="D201" s="44"/>
      <c r="E201" s="44"/>
      <c r="F201" s="44"/>
      <c r="G201" s="44"/>
      <c r="H201" s="44"/>
      <c r="I201" s="44"/>
      <c r="J201" s="44"/>
      <c r="K201" s="44"/>
      <c r="L201" s="44"/>
      <c r="M201" s="12">
        <f>SUM(InnovationProjectResults[[#This Row],[Identify - Define]:[Communicate - Fun (CV)]])</f>
        <v>0</v>
      </c>
      <c r="N201" s="43">
        <f>IF(InnovationProjectResults[[#This Row],[Team Number]]&gt;0,MIN(_xlfn.RANK.EQ(InnovationProjectResults[[#This Row],[Innovation Project Score]],InnovationProjectResults[Innovation Project Score],0),NumberOfTeams),NumberOfTeams+1)</f>
        <v>1</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9BEDD-0C03-4817-ACAD-DEA7E43D07F3}">
  <sheetPr>
    <tabColor rgb="FF92D050"/>
  </sheetPr>
  <dimension ref="A1:N201"/>
  <sheetViews>
    <sheetView showGridLines="0" workbookViewId="0"/>
  </sheetViews>
  <sheetFormatPr defaultRowHeight="14.25" x14ac:dyDescent="0.45"/>
  <cols>
    <col min="1" max="1" width="15.46484375" customWidth="1"/>
    <col min="2" max="2" width="32.46484375" customWidth="1"/>
    <col min="3" max="12" width="7.46484375" customWidth="1"/>
    <col min="13" max="13" width="10.46484375" customWidth="1"/>
    <col min="14" max="14" width="15.46484375" customWidth="1"/>
  </cols>
  <sheetData>
    <row r="1" spans="1:14" ht="170" customHeight="1" x14ac:dyDescent="0.45">
      <c r="A1" s="37" t="s">
        <v>23</v>
      </c>
      <c r="B1" s="38" t="s">
        <v>24</v>
      </c>
      <c r="C1" s="72" t="s">
        <v>76</v>
      </c>
      <c r="D1" s="72" t="s">
        <v>66</v>
      </c>
      <c r="E1" s="72" t="s">
        <v>77</v>
      </c>
      <c r="F1" s="72" t="s">
        <v>78</v>
      </c>
      <c r="G1" s="72" t="s">
        <v>79</v>
      </c>
      <c r="H1" s="72" t="s">
        <v>80</v>
      </c>
      <c r="I1" s="72" t="s">
        <v>81</v>
      </c>
      <c r="J1" s="72" t="s">
        <v>82</v>
      </c>
      <c r="K1" s="72" t="s">
        <v>73</v>
      </c>
      <c r="L1" s="72" t="s">
        <v>74</v>
      </c>
      <c r="M1" s="73" t="s">
        <v>62</v>
      </c>
      <c r="N1" s="74" t="s">
        <v>54</v>
      </c>
    </row>
    <row r="2" spans="1:14" ht="30" customHeight="1" x14ac:dyDescent="0.45">
      <c r="A2" s="12">
        <f>(_xlfn.XLOOKUP(1,OfficialTeamList[Row],OfficialTeamList[Team Number],"ERROR",0))+0</f>
        <v>0</v>
      </c>
      <c r="B2" s="42" t="str">
        <f>_xlfn.XLOOKUP(RobotDesignResults[[#This Row],[Team Number]],OfficialTeamList[Team Number],OfficialTeamList[Team Name],"",0,)</f>
        <v/>
      </c>
      <c r="C2" s="17"/>
      <c r="D2" s="17"/>
      <c r="E2" s="17"/>
      <c r="F2" s="17"/>
      <c r="G2" s="17"/>
      <c r="H2" s="17"/>
      <c r="I2" s="17"/>
      <c r="J2" s="17"/>
      <c r="K2" s="17"/>
      <c r="L2" s="17"/>
      <c r="M2" s="12">
        <f>SUM(RobotDesignResults[[#This Row],[Identify - Strategy]:[Communicate - Fun (CV)]])</f>
        <v>0</v>
      </c>
      <c r="N2" s="43">
        <f>IF(RobotDesignResults[[#This Row],[Team Number]]&gt;0,MIN(_xlfn.RANK.EQ(RobotDesignResults[[#This Row],[Robot Design Score]],RobotDesignResults[Robot Design Score],0),NumberOfTeams),NumberOfTeams+1)</f>
        <v>1</v>
      </c>
    </row>
    <row r="3" spans="1:14" ht="30" customHeight="1" x14ac:dyDescent="0.45">
      <c r="A3" s="12">
        <f>(_xlfn.XLOOKUP(2,OfficialTeamList[Row],OfficialTeamList[Team Number],"ERROR",0))+0</f>
        <v>0</v>
      </c>
      <c r="B3" s="42" t="str">
        <f>_xlfn.XLOOKUP(RobotDesignResults[[#This Row],[Team Number]],OfficialTeamList[Team Number],OfficialTeamList[Team Name],"",0,)</f>
        <v/>
      </c>
      <c r="C3" s="17"/>
      <c r="D3" s="17"/>
      <c r="E3" s="17"/>
      <c r="F3" s="17"/>
      <c r="G3" s="17"/>
      <c r="H3" s="17"/>
      <c r="I3" s="17"/>
      <c r="J3" s="17"/>
      <c r="K3" s="17"/>
      <c r="L3" s="17"/>
      <c r="M3" s="12">
        <f>SUM(RobotDesignResults[[#This Row],[Identify - Strategy]:[Communicate - Fun (CV)]])</f>
        <v>0</v>
      </c>
      <c r="N3" s="43">
        <f>IF(RobotDesignResults[[#This Row],[Team Number]]&gt;0,MIN(_xlfn.RANK.EQ(RobotDesignResults[[#This Row],[Robot Design Score]],RobotDesignResults[Robot Design Score],0),NumberOfTeams),NumberOfTeams+1)</f>
        <v>1</v>
      </c>
    </row>
    <row r="4" spans="1:14" ht="30" customHeight="1" x14ac:dyDescent="0.45">
      <c r="A4" s="12">
        <f>(_xlfn.XLOOKUP(3,OfficialTeamList[Row],OfficialTeamList[Team Number],"ERROR",0))+0</f>
        <v>0</v>
      </c>
      <c r="B4" s="42" t="str">
        <f>_xlfn.XLOOKUP(RobotDesignResults[[#This Row],[Team Number]],OfficialTeamList[Team Number],OfficialTeamList[Team Name],"",0,)</f>
        <v/>
      </c>
      <c r="C4" s="17"/>
      <c r="D4" s="17"/>
      <c r="E4" s="17"/>
      <c r="F4" s="17"/>
      <c r="G4" s="17"/>
      <c r="H4" s="17"/>
      <c r="I4" s="17"/>
      <c r="J4" s="17"/>
      <c r="K4" s="17"/>
      <c r="L4" s="17"/>
      <c r="M4" s="12">
        <f>SUM(RobotDesignResults[[#This Row],[Identify - Strategy]:[Communicate - Fun (CV)]])</f>
        <v>0</v>
      </c>
      <c r="N4" s="43">
        <f>IF(RobotDesignResults[[#This Row],[Team Number]]&gt;0,MIN(_xlfn.RANK.EQ(RobotDesignResults[[#This Row],[Robot Design Score]],RobotDesignResults[Robot Design Score],0),NumberOfTeams),NumberOfTeams+1)</f>
        <v>1</v>
      </c>
    </row>
    <row r="5" spans="1:14" ht="30" customHeight="1" x14ac:dyDescent="0.45">
      <c r="A5" s="12">
        <f>_xlfn.XLOOKUP(4,OfficialTeamList[Row],OfficialTeamList[Team Number],"ERROR",0)</f>
        <v>0</v>
      </c>
      <c r="B5" s="42" t="str">
        <f>_xlfn.XLOOKUP(RobotDesignResults[[#This Row],[Team Number]],OfficialTeamList[Team Number],OfficialTeamList[Team Name],"",0,)</f>
        <v/>
      </c>
      <c r="C5" s="17"/>
      <c r="D5" s="17"/>
      <c r="E5" s="17"/>
      <c r="F5" s="17"/>
      <c r="G5" s="17"/>
      <c r="H5" s="17"/>
      <c r="I5" s="17"/>
      <c r="J5" s="17"/>
      <c r="K5" s="17"/>
      <c r="L5" s="17"/>
      <c r="M5" s="12">
        <f>SUM(RobotDesignResults[[#This Row],[Identify - Strategy]:[Communicate - Fun (CV)]])</f>
        <v>0</v>
      </c>
      <c r="N5" s="43">
        <f>IF(RobotDesignResults[[#This Row],[Team Number]]&gt;0,MIN(_xlfn.RANK.EQ(RobotDesignResults[[#This Row],[Robot Design Score]],RobotDesignResults[Robot Design Score],0),NumberOfTeams),NumberOfTeams+1)</f>
        <v>1</v>
      </c>
    </row>
    <row r="6" spans="1:14" ht="30" customHeight="1" x14ac:dyDescent="0.45">
      <c r="A6" s="12">
        <f>_xlfn.XLOOKUP(5,OfficialTeamList[Row],OfficialTeamList[Team Number],"ERROR",0)</f>
        <v>0</v>
      </c>
      <c r="B6" s="42" t="str">
        <f>_xlfn.XLOOKUP(RobotDesignResults[[#This Row],[Team Number]],OfficialTeamList[Team Number],OfficialTeamList[Team Name],"",0,)</f>
        <v/>
      </c>
      <c r="C6" s="17"/>
      <c r="D6" s="17"/>
      <c r="E6" s="17"/>
      <c r="F6" s="17"/>
      <c r="G6" s="17"/>
      <c r="H6" s="17"/>
      <c r="I6" s="17"/>
      <c r="J6" s="17"/>
      <c r="K6" s="17"/>
      <c r="L6" s="17"/>
      <c r="M6" s="12">
        <f>SUM(RobotDesignResults[[#This Row],[Identify - Strategy]:[Communicate - Fun (CV)]])</f>
        <v>0</v>
      </c>
      <c r="N6" s="43">
        <f>IF(RobotDesignResults[[#This Row],[Team Number]]&gt;0,MIN(_xlfn.RANK.EQ(RobotDesignResults[[#This Row],[Robot Design Score]],RobotDesignResults[Robot Design Score],0),NumberOfTeams),NumberOfTeams+1)</f>
        <v>1</v>
      </c>
    </row>
    <row r="7" spans="1:14" ht="30" customHeight="1" x14ac:dyDescent="0.45">
      <c r="A7" s="12">
        <f>_xlfn.XLOOKUP(6,OfficialTeamList[Row],OfficialTeamList[Team Number],"ERROR",0)</f>
        <v>0</v>
      </c>
      <c r="B7" s="42" t="str">
        <f>_xlfn.XLOOKUP(RobotDesignResults[[#This Row],[Team Number]],OfficialTeamList[Team Number],OfficialTeamList[Team Name],"",0,)</f>
        <v/>
      </c>
      <c r="C7" s="17"/>
      <c r="D7" s="17"/>
      <c r="E7" s="17"/>
      <c r="F7" s="17"/>
      <c r="G7" s="17"/>
      <c r="H7" s="17"/>
      <c r="I7" s="17"/>
      <c r="J7" s="17"/>
      <c r="K7" s="17"/>
      <c r="L7" s="17"/>
      <c r="M7" s="12">
        <f>SUM(RobotDesignResults[[#This Row],[Identify - Strategy]:[Communicate - Fun (CV)]])</f>
        <v>0</v>
      </c>
      <c r="N7" s="43">
        <f>IF(RobotDesignResults[[#This Row],[Team Number]]&gt;0,MIN(_xlfn.RANK.EQ(RobotDesignResults[[#This Row],[Robot Design Score]],RobotDesignResults[Robot Design Score],0),NumberOfTeams),NumberOfTeams+1)</f>
        <v>1</v>
      </c>
    </row>
    <row r="8" spans="1:14" ht="30" customHeight="1" x14ac:dyDescent="0.45">
      <c r="A8" s="12">
        <f>_xlfn.XLOOKUP(7,OfficialTeamList[Row],OfficialTeamList[Team Number],"ERROR",0)</f>
        <v>0</v>
      </c>
      <c r="B8" s="42" t="str">
        <f>_xlfn.XLOOKUP(RobotDesignResults[[#This Row],[Team Number]],OfficialTeamList[Team Number],OfficialTeamList[Team Name],"",0,)</f>
        <v/>
      </c>
      <c r="C8" s="17"/>
      <c r="D8" s="17"/>
      <c r="E8" s="17"/>
      <c r="F8" s="17"/>
      <c r="G8" s="17"/>
      <c r="H8" s="17"/>
      <c r="I8" s="17"/>
      <c r="J8" s="17"/>
      <c r="K8" s="17"/>
      <c r="L8" s="17"/>
      <c r="M8" s="12">
        <f>SUM(RobotDesignResults[[#This Row],[Identify - Strategy]:[Communicate - Fun (CV)]])</f>
        <v>0</v>
      </c>
      <c r="N8" s="43">
        <f>IF(RobotDesignResults[[#This Row],[Team Number]]&gt;0,MIN(_xlfn.RANK.EQ(RobotDesignResults[[#This Row],[Robot Design Score]],RobotDesignResults[Robot Design Score],0),NumberOfTeams),NumberOfTeams+1)</f>
        <v>1</v>
      </c>
    </row>
    <row r="9" spans="1:14" ht="30" customHeight="1" x14ac:dyDescent="0.45">
      <c r="A9" s="12">
        <f>_xlfn.XLOOKUP(8,OfficialTeamList[Row],OfficialTeamList[Team Number],"ERROR",0)</f>
        <v>0</v>
      </c>
      <c r="B9" s="42" t="str">
        <f>_xlfn.XLOOKUP(RobotDesignResults[[#This Row],[Team Number]],OfficialTeamList[Team Number],OfficialTeamList[Team Name],"",0,)</f>
        <v/>
      </c>
      <c r="C9" s="17"/>
      <c r="D9" s="17"/>
      <c r="E9" s="17"/>
      <c r="F9" s="17"/>
      <c r="G9" s="17"/>
      <c r="H9" s="17"/>
      <c r="I9" s="17"/>
      <c r="J9" s="17"/>
      <c r="K9" s="17"/>
      <c r="L9" s="17"/>
      <c r="M9" s="12">
        <f>SUM(RobotDesignResults[[#This Row],[Identify - Strategy]:[Communicate - Fun (CV)]])</f>
        <v>0</v>
      </c>
      <c r="N9" s="43">
        <f>IF(RobotDesignResults[[#This Row],[Team Number]]&gt;0,MIN(_xlfn.RANK.EQ(RobotDesignResults[[#This Row],[Robot Design Score]],RobotDesignResults[Robot Design Score],0),NumberOfTeams),NumberOfTeams+1)</f>
        <v>1</v>
      </c>
    </row>
    <row r="10" spans="1:14" ht="30" customHeight="1" x14ac:dyDescent="0.45">
      <c r="A10" s="12">
        <f>_xlfn.XLOOKUP(9,OfficialTeamList[Row],OfficialTeamList[Team Number],"ERROR",0)</f>
        <v>0</v>
      </c>
      <c r="B10" s="42" t="str">
        <f>_xlfn.XLOOKUP(RobotDesignResults[[#This Row],[Team Number]],OfficialTeamList[Team Number],OfficialTeamList[Team Name],"",0,)</f>
        <v/>
      </c>
      <c r="C10" s="17"/>
      <c r="D10" s="17"/>
      <c r="E10" s="17"/>
      <c r="F10" s="17"/>
      <c r="G10" s="17"/>
      <c r="H10" s="17"/>
      <c r="I10" s="17"/>
      <c r="J10" s="17"/>
      <c r="K10" s="17"/>
      <c r="L10" s="17"/>
      <c r="M10" s="12">
        <f>SUM(RobotDesignResults[[#This Row],[Identify - Strategy]:[Communicate - Fun (CV)]])</f>
        <v>0</v>
      </c>
      <c r="N10" s="43">
        <f>IF(RobotDesignResults[[#This Row],[Team Number]]&gt;0,MIN(_xlfn.RANK.EQ(RobotDesignResults[[#This Row],[Robot Design Score]],RobotDesignResults[Robot Design Score],0),NumberOfTeams),NumberOfTeams+1)</f>
        <v>1</v>
      </c>
    </row>
    <row r="11" spans="1:14" ht="30" customHeight="1" x14ac:dyDescent="0.45">
      <c r="A11" s="12">
        <f>_xlfn.XLOOKUP(10,OfficialTeamList[Row],OfficialTeamList[Team Number],"ERROR",0)</f>
        <v>0</v>
      </c>
      <c r="B11" s="42" t="str">
        <f>_xlfn.XLOOKUP(RobotDesignResults[[#This Row],[Team Number]],OfficialTeamList[Team Number],OfficialTeamList[Team Name],"",0,)</f>
        <v/>
      </c>
      <c r="C11" s="17"/>
      <c r="D11" s="17"/>
      <c r="E11" s="17"/>
      <c r="F11" s="17"/>
      <c r="G11" s="17"/>
      <c r="H11" s="17"/>
      <c r="I11" s="17"/>
      <c r="J11" s="17"/>
      <c r="K11" s="17"/>
      <c r="L11" s="17"/>
      <c r="M11" s="12">
        <f>SUM(RobotDesignResults[[#This Row],[Identify - Strategy]:[Communicate - Fun (CV)]])</f>
        <v>0</v>
      </c>
      <c r="N11" s="43">
        <f>IF(RobotDesignResults[[#This Row],[Team Number]]&gt;0,MIN(_xlfn.RANK.EQ(RobotDesignResults[[#This Row],[Robot Design Score]],RobotDesignResults[Robot Design Score],0),NumberOfTeams),NumberOfTeams+1)</f>
        <v>1</v>
      </c>
    </row>
    <row r="12" spans="1:14" ht="30" customHeight="1" x14ac:dyDescent="0.45">
      <c r="A12" s="12">
        <f>_xlfn.XLOOKUP(11,OfficialTeamList[Row],OfficialTeamList[Team Number],"ERROR",0)</f>
        <v>0</v>
      </c>
      <c r="B12" s="42" t="str">
        <f>_xlfn.XLOOKUP(RobotDesignResults[[#This Row],[Team Number]],OfficialTeamList[Team Number],OfficialTeamList[Team Name],"",0,)</f>
        <v/>
      </c>
      <c r="C12" s="17"/>
      <c r="D12" s="17"/>
      <c r="E12" s="17"/>
      <c r="F12" s="17"/>
      <c r="G12" s="17"/>
      <c r="H12" s="17"/>
      <c r="I12" s="17"/>
      <c r="J12" s="17"/>
      <c r="K12" s="17"/>
      <c r="L12" s="17"/>
      <c r="M12" s="12">
        <f>SUM(RobotDesignResults[[#This Row],[Identify - Strategy]:[Communicate - Fun (CV)]])</f>
        <v>0</v>
      </c>
      <c r="N12" s="43">
        <f>IF(RobotDesignResults[[#This Row],[Team Number]]&gt;0,MIN(_xlfn.RANK.EQ(RobotDesignResults[[#This Row],[Robot Design Score]],RobotDesignResults[Robot Design Score],0),NumberOfTeams),NumberOfTeams+1)</f>
        <v>1</v>
      </c>
    </row>
    <row r="13" spans="1:14" ht="30" customHeight="1" x14ac:dyDescent="0.45">
      <c r="A13" s="12">
        <f>_xlfn.XLOOKUP(12,OfficialTeamList[Row],OfficialTeamList[Team Number],"ERROR",0)</f>
        <v>0</v>
      </c>
      <c r="B13" s="42" t="str">
        <f>_xlfn.XLOOKUP(RobotDesignResults[[#This Row],[Team Number]],OfficialTeamList[Team Number],OfficialTeamList[Team Name],"",0,)</f>
        <v/>
      </c>
      <c r="C13" s="17"/>
      <c r="D13" s="17"/>
      <c r="E13" s="17"/>
      <c r="F13" s="17"/>
      <c r="G13" s="17"/>
      <c r="H13" s="17"/>
      <c r="I13" s="17"/>
      <c r="J13" s="17"/>
      <c r="K13" s="17"/>
      <c r="L13" s="17"/>
      <c r="M13" s="12">
        <f>SUM(RobotDesignResults[[#This Row],[Identify - Strategy]:[Communicate - Fun (CV)]])</f>
        <v>0</v>
      </c>
      <c r="N13" s="43">
        <f>IF(RobotDesignResults[[#This Row],[Team Number]]&gt;0,MIN(_xlfn.RANK.EQ(RobotDesignResults[[#This Row],[Robot Design Score]],RobotDesignResults[Robot Design Score],0),NumberOfTeams),NumberOfTeams+1)</f>
        <v>1</v>
      </c>
    </row>
    <row r="14" spans="1:14" ht="30" customHeight="1" x14ac:dyDescent="0.45">
      <c r="A14" s="12">
        <f>_xlfn.XLOOKUP(13,OfficialTeamList[Row],OfficialTeamList[Team Number],"ERROR",0)</f>
        <v>0</v>
      </c>
      <c r="B14" s="42" t="str">
        <f>_xlfn.XLOOKUP(RobotDesignResults[[#This Row],[Team Number]],OfficialTeamList[Team Number],OfficialTeamList[Team Name],"",0,)</f>
        <v/>
      </c>
      <c r="C14" s="17"/>
      <c r="D14" s="17"/>
      <c r="E14" s="17"/>
      <c r="F14" s="17"/>
      <c r="G14" s="17"/>
      <c r="H14" s="17"/>
      <c r="I14" s="17"/>
      <c r="J14" s="17"/>
      <c r="K14" s="17"/>
      <c r="L14" s="17"/>
      <c r="M14" s="12">
        <f>SUM(RobotDesignResults[[#This Row],[Identify - Strategy]:[Communicate - Fun (CV)]])</f>
        <v>0</v>
      </c>
      <c r="N14" s="43">
        <f>IF(RobotDesignResults[[#This Row],[Team Number]]&gt;0,MIN(_xlfn.RANK.EQ(RobotDesignResults[[#This Row],[Robot Design Score]],RobotDesignResults[Robot Design Score],0),NumberOfTeams),NumberOfTeams+1)</f>
        <v>1</v>
      </c>
    </row>
    <row r="15" spans="1:14" ht="30" customHeight="1" x14ac:dyDescent="0.45">
      <c r="A15" s="12">
        <f>_xlfn.XLOOKUP(14,OfficialTeamList[Row],OfficialTeamList[Team Number],"ERROR",0)</f>
        <v>0</v>
      </c>
      <c r="B15" s="42" t="str">
        <f>_xlfn.XLOOKUP(RobotDesignResults[[#This Row],[Team Number]],OfficialTeamList[Team Number],OfficialTeamList[Team Name],"",0,)</f>
        <v/>
      </c>
      <c r="C15" s="17"/>
      <c r="D15" s="17"/>
      <c r="E15" s="17"/>
      <c r="F15" s="17"/>
      <c r="G15" s="17"/>
      <c r="H15" s="17"/>
      <c r="I15" s="17"/>
      <c r="J15" s="17"/>
      <c r="K15" s="17"/>
      <c r="L15" s="17"/>
      <c r="M15" s="12">
        <f>SUM(RobotDesignResults[[#This Row],[Identify - Strategy]:[Communicate - Fun (CV)]])</f>
        <v>0</v>
      </c>
      <c r="N15" s="43">
        <f>IF(RobotDesignResults[[#This Row],[Team Number]]&gt;0,MIN(_xlfn.RANK.EQ(RobotDesignResults[[#This Row],[Robot Design Score]],RobotDesignResults[Robot Design Score],0),NumberOfTeams),NumberOfTeams+1)</f>
        <v>1</v>
      </c>
    </row>
    <row r="16" spans="1:14" ht="30" customHeight="1" x14ac:dyDescent="0.45">
      <c r="A16" s="12">
        <f>_xlfn.XLOOKUP(15,OfficialTeamList[Row],OfficialTeamList[Team Number],"ERROR",0)</f>
        <v>0</v>
      </c>
      <c r="B16" s="42" t="str">
        <f>_xlfn.XLOOKUP(RobotDesignResults[[#This Row],[Team Number]],OfficialTeamList[Team Number],OfficialTeamList[Team Name],"",0,)</f>
        <v/>
      </c>
      <c r="C16" s="17"/>
      <c r="D16" s="17"/>
      <c r="E16" s="17"/>
      <c r="F16" s="17"/>
      <c r="G16" s="17"/>
      <c r="H16" s="17"/>
      <c r="I16" s="17"/>
      <c r="J16" s="17"/>
      <c r="K16" s="17"/>
      <c r="L16" s="17"/>
      <c r="M16" s="12">
        <f>SUM(RobotDesignResults[[#This Row],[Identify - Strategy]:[Communicate - Fun (CV)]])</f>
        <v>0</v>
      </c>
      <c r="N16" s="43">
        <f>IF(RobotDesignResults[[#This Row],[Team Number]]&gt;0,MIN(_xlfn.RANK.EQ(RobotDesignResults[[#This Row],[Robot Design Score]],RobotDesignResults[Robot Design Score],0),NumberOfTeams),NumberOfTeams+1)</f>
        <v>1</v>
      </c>
    </row>
    <row r="17" spans="1:14" ht="30" customHeight="1" x14ac:dyDescent="0.45">
      <c r="A17" s="12">
        <f>_xlfn.XLOOKUP(16,OfficialTeamList[Row],OfficialTeamList[Team Number],"ERROR",0)</f>
        <v>0</v>
      </c>
      <c r="B17" s="42" t="str">
        <f>_xlfn.XLOOKUP(RobotDesignResults[[#This Row],[Team Number]],OfficialTeamList[Team Number],OfficialTeamList[Team Name],"",0,)</f>
        <v/>
      </c>
      <c r="C17" s="17"/>
      <c r="D17" s="17"/>
      <c r="E17" s="17"/>
      <c r="F17" s="17"/>
      <c r="G17" s="17"/>
      <c r="H17" s="17"/>
      <c r="I17" s="17"/>
      <c r="J17" s="17"/>
      <c r="K17" s="17"/>
      <c r="L17" s="17"/>
      <c r="M17" s="12">
        <f>SUM(RobotDesignResults[[#This Row],[Identify - Strategy]:[Communicate - Fun (CV)]])</f>
        <v>0</v>
      </c>
      <c r="N17" s="43">
        <f>IF(RobotDesignResults[[#This Row],[Team Number]]&gt;0,MIN(_xlfn.RANK.EQ(RobotDesignResults[[#This Row],[Robot Design Score]],RobotDesignResults[Robot Design Score],0),NumberOfTeams),NumberOfTeams+1)</f>
        <v>1</v>
      </c>
    </row>
    <row r="18" spans="1:14" ht="30" customHeight="1" x14ac:dyDescent="0.45">
      <c r="A18" s="12">
        <f>_xlfn.XLOOKUP(17,OfficialTeamList[Row],OfficialTeamList[Team Number],"ERROR",0)</f>
        <v>0</v>
      </c>
      <c r="B18" s="42" t="str">
        <f>_xlfn.XLOOKUP(RobotDesignResults[[#This Row],[Team Number]],OfficialTeamList[Team Number],OfficialTeamList[Team Name],"",0,)</f>
        <v/>
      </c>
      <c r="C18" s="17"/>
      <c r="D18" s="17"/>
      <c r="E18" s="17"/>
      <c r="F18" s="17"/>
      <c r="G18" s="17"/>
      <c r="H18" s="17"/>
      <c r="I18" s="17"/>
      <c r="J18" s="17"/>
      <c r="K18" s="17"/>
      <c r="L18" s="17"/>
      <c r="M18" s="12">
        <f>SUM(RobotDesignResults[[#This Row],[Identify - Strategy]:[Communicate - Fun (CV)]])</f>
        <v>0</v>
      </c>
      <c r="N18" s="43">
        <f>IF(RobotDesignResults[[#This Row],[Team Number]]&gt;0,MIN(_xlfn.RANK.EQ(RobotDesignResults[[#This Row],[Robot Design Score]],RobotDesignResults[Robot Design Score],0),NumberOfTeams),NumberOfTeams+1)</f>
        <v>1</v>
      </c>
    </row>
    <row r="19" spans="1:14" ht="30" customHeight="1" x14ac:dyDescent="0.45">
      <c r="A19" s="12">
        <f>_xlfn.XLOOKUP(18,OfficialTeamList[Row],OfficialTeamList[Team Number],"ERROR",0)</f>
        <v>0</v>
      </c>
      <c r="B19" s="42" t="str">
        <f>_xlfn.XLOOKUP(RobotDesignResults[[#This Row],[Team Number]],OfficialTeamList[Team Number],OfficialTeamList[Team Name],"",0,)</f>
        <v/>
      </c>
      <c r="C19" s="17"/>
      <c r="D19" s="17"/>
      <c r="E19" s="17"/>
      <c r="F19" s="17"/>
      <c r="G19" s="17"/>
      <c r="H19" s="17"/>
      <c r="I19" s="17"/>
      <c r="J19" s="17"/>
      <c r="K19" s="17"/>
      <c r="L19" s="17"/>
      <c r="M19" s="12">
        <f>SUM(RobotDesignResults[[#This Row],[Identify - Strategy]:[Communicate - Fun (CV)]])</f>
        <v>0</v>
      </c>
      <c r="N19" s="43">
        <f>IF(RobotDesignResults[[#This Row],[Team Number]]&gt;0,MIN(_xlfn.RANK.EQ(RobotDesignResults[[#This Row],[Robot Design Score]],RobotDesignResults[Robot Design Score],0),NumberOfTeams),NumberOfTeams+1)</f>
        <v>1</v>
      </c>
    </row>
    <row r="20" spans="1:14" ht="30" customHeight="1" x14ac:dyDescent="0.45">
      <c r="A20" s="12">
        <f>_xlfn.XLOOKUP(19,OfficialTeamList[Row],OfficialTeamList[Team Number],"ERROR",0)</f>
        <v>0</v>
      </c>
      <c r="B20" s="42" t="str">
        <f>_xlfn.XLOOKUP(RobotDesignResults[[#This Row],[Team Number]],OfficialTeamList[Team Number],OfficialTeamList[Team Name],"",0,)</f>
        <v/>
      </c>
      <c r="C20" s="17"/>
      <c r="D20" s="17"/>
      <c r="E20" s="17"/>
      <c r="F20" s="17"/>
      <c r="G20" s="17"/>
      <c r="H20" s="17"/>
      <c r="I20" s="17"/>
      <c r="J20" s="17"/>
      <c r="K20" s="17"/>
      <c r="L20" s="17"/>
      <c r="M20" s="12">
        <f>SUM(RobotDesignResults[[#This Row],[Identify - Strategy]:[Communicate - Fun (CV)]])</f>
        <v>0</v>
      </c>
      <c r="N20" s="43">
        <f>IF(RobotDesignResults[[#This Row],[Team Number]]&gt;0,MIN(_xlfn.RANK.EQ(RobotDesignResults[[#This Row],[Robot Design Score]],RobotDesignResults[Robot Design Score],0),NumberOfTeams),NumberOfTeams+1)</f>
        <v>1</v>
      </c>
    </row>
    <row r="21" spans="1:14" ht="30" customHeight="1" x14ac:dyDescent="0.45">
      <c r="A21" s="12">
        <f>_xlfn.XLOOKUP(20,OfficialTeamList[Row],OfficialTeamList[Team Number],"ERROR",0)</f>
        <v>0</v>
      </c>
      <c r="B21" s="42" t="str">
        <f>_xlfn.XLOOKUP(RobotDesignResults[[#This Row],[Team Number]],OfficialTeamList[Team Number],OfficialTeamList[Team Name],"",0,)</f>
        <v/>
      </c>
      <c r="C21" s="17"/>
      <c r="D21" s="17"/>
      <c r="E21" s="17"/>
      <c r="F21" s="17"/>
      <c r="G21" s="17"/>
      <c r="H21" s="17"/>
      <c r="I21" s="17"/>
      <c r="J21" s="17"/>
      <c r="K21" s="17"/>
      <c r="L21" s="17"/>
      <c r="M21" s="12">
        <f>SUM(RobotDesignResults[[#This Row],[Identify - Strategy]:[Communicate - Fun (CV)]])</f>
        <v>0</v>
      </c>
      <c r="N21" s="43">
        <f>IF(RobotDesignResults[[#This Row],[Team Number]]&gt;0,MIN(_xlfn.RANK.EQ(RobotDesignResults[[#This Row],[Robot Design Score]],RobotDesignResults[Robot Design Score],0),NumberOfTeams),NumberOfTeams+1)</f>
        <v>1</v>
      </c>
    </row>
    <row r="22" spans="1:14" ht="30" customHeight="1" x14ac:dyDescent="0.45">
      <c r="A22" s="12">
        <f>_xlfn.XLOOKUP(21,OfficialTeamList[Row],OfficialTeamList[Team Number],"ERROR",0)</f>
        <v>0</v>
      </c>
      <c r="B22" s="42" t="str">
        <f>_xlfn.XLOOKUP(RobotDesignResults[[#This Row],[Team Number]],OfficialTeamList[Team Number],OfficialTeamList[Team Name],"",0,)</f>
        <v/>
      </c>
      <c r="C22" s="17"/>
      <c r="D22" s="17"/>
      <c r="E22" s="17"/>
      <c r="F22" s="17"/>
      <c r="G22" s="17"/>
      <c r="H22" s="17"/>
      <c r="I22" s="17"/>
      <c r="J22" s="17"/>
      <c r="K22" s="17"/>
      <c r="L22" s="17"/>
      <c r="M22" s="12">
        <f>SUM(RobotDesignResults[[#This Row],[Identify - Strategy]:[Communicate - Fun (CV)]])</f>
        <v>0</v>
      </c>
      <c r="N22" s="43">
        <f>IF(RobotDesignResults[[#This Row],[Team Number]]&gt;0,MIN(_xlfn.RANK.EQ(RobotDesignResults[[#This Row],[Robot Design Score]],RobotDesignResults[Robot Design Score],0),NumberOfTeams),NumberOfTeams+1)</f>
        <v>1</v>
      </c>
    </row>
    <row r="23" spans="1:14" ht="30" customHeight="1" x14ac:dyDescent="0.45">
      <c r="A23" s="12">
        <f>_xlfn.XLOOKUP(22,OfficialTeamList[Row],OfficialTeamList[Team Number],"ERROR",0)</f>
        <v>0</v>
      </c>
      <c r="B23" s="42" t="str">
        <f>_xlfn.XLOOKUP(RobotDesignResults[[#This Row],[Team Number]],OfficialTeamList[Team Number],OfficialTeamList[Team Name],"",0,)</f>
        <v/>
      </c>
      <c r="C23" s="17"/>
      <c r="D23" s="17"/>
      <c r="E23" s="17"/>
      <c r="F23" s="17"/>
      <c r="G23" s="17"/>
      <c r="H23" s="17"/>
      <c r="I23" s="17"/>
      <c r="J23" s="17"/>
      <c r="K23" s="17"/>
      <c r="L23" s="17"/>
      <c r="M23" s="12">
        <f>SUM(RobotDesignResults[[#This Row],[Identify - Strategy]:[Communicate - Fun (CV)]])</f>
        <v>0</v>
      </c>
      <c r="N23" s="43">
        <f>IF(RobotDesignResults[[#This Row],[Team Number]]&gt;0,MIN(_xlfn.RANK.EQ(RobotDesignResults[[#This Row],[Robot Design Score]],RobotDesignResults[Robot Design Score],0),NumberOfTeams),NumberOfTeams+1)</f>
        <v>1</v>
      </c>
    </row>
    <row r="24" spans="1:14" ht="30" customHeight="1" x14ac:dyDescent="0.45">
      <c r="A24" s="12">
        <f>_xlfn.XLOOKUP(23,OfficialTeamList[Row],OfficialTeamList[Team Number],"ERROR",0)</f>
        <v>0</v>
      </c>
      <c r="B24" s="42" t="str">
        <f>_xlfn.XLOOKUP(RobotDesignResults[[#This Row],[Team Number]],OfficialTeamList[Team Number],OfficialTeamList[Team Name],"",0,)</f>
        <v/>
      </c>
      <c r="C24" s="17"/>
      <c r="D24" s="17"/>
      <c r="E24" s="17"/>
      <c r="F24" s="17"/>
      <c r="G24" s="17"/>
      <c r="H24" s="17"/>
      <c r="I24" s="17"/>
      <c r="J24" s="17"/>
      <c r="K24" s="17"/>
      <c r="L24" s="17"/>
      <c r="M24" s="12">
        <f>SUM(RobotDesignResults[[#This Row],[Identify - Strategy]:[Communicate - Fun (CV)]])</f>
        <v>0</v>
      </c>
      <c r="N24" s="43">
        <f>IF(RobotDesignResults[[#This Row],[Team Number]]&gt;0,MIN(_xlfn.RANK.EQ(RobotDesignResults[[#This Row],[Robot Design Score]],RobotDesignResults[Robot Design Score],0),NumberOfTeams),NumberOfTeams+1)</f>
        <v>1</v>
      </c>
    </row>
    <row r="25" spans="1:14" ht="30" customHeight="1" x14ac:dyDescent="0.45">
      <c r="A25" s="12">
        <f>_xlfn.XLOOKUP(24,OfficialTeamList[Row],OfficialTeamList[Team Number],"ERROR",0)</f>
        <v>0</v>
      </c>
      <c r="B25" s="42" t="str">
        <f>_xlfn.XLOOKUP(RobotDesignResults[[#This Row],[Team Number]],OfficialTeamList[Team Number],OfficialTeamList[Team Name],"",0,)</f>
        <v/>
      </c>
      <c r="C25" s="17"/>
      <c r="D25" s="17"/>
      <c r="E25" s="17"/>
      <c r="F25" s="17"/>
      <c r="G25" s="17"/>
      <c r="H25" s="17"/>
      <c r="I25" s="17"/>
      <c r="J25" s="17"/>
      <c r="K25" s="17"/>
      <c r="L25" s="17"/>
      <c r="M25" s="12">
        <f>SUM(RobotDesignResults[[#This Row],[Identify - Strategy]:[Communicate - Fun (CV)]])</f>
        <v>0</v>
      </c>
      <c r="N25" s="43">
        <f>IF(RobotDesignResults[[#This Row],[Team Number]]&gt;0,MIN(_xlfn.RANK.EQ(RobotDesignResults[[#This Row],[Robot Design Score]],RobotDesignResults[Robot Design Score],0),NumberOfTeams),NumberOfTeams+1)</f>
        <v>1</v>
      </c>
    </row>
    <row r="26" spans="1:14" ht="30" customHeight="1" x14ac:dyDescent="0.45">
      <c r="A26" s="12">
        <f>_xlfn.XLOOKUP(25,OfficialTeamList[Row],OfficialTeamList[Team Number],"ERROR",0)</f>
        <v>0</v>
      </c>
      <c r="B26" s="42" t="str">
        <f>_xlfn.XLOOKUP(RobotDesignResults[[#This Row],[Team Number]],OfficialTeamList[Team Number],OfficialTeamList[Team Name],"",0,)</f>
        <v/>
      </c>
      <c r="C26" s="17"/>
      <c r="D26" s="17"/>
      <c r="E26" s="17"/>
      <c r="F26" s="17"/>
      <c r="G26" s="17"/>
      <c r="H26" s="17"/>
      <c r="I26" s="17"/>
      <c r="J26" s="17"/>
      <c r="K26" s="17"/>
      <c r="L26" s="17"/>
      <c r="M26" s="12">
        <f>SUM(RobotDesignResults[[#This Row],[Identify - Strategy]:[Communicate - Fun (CV)]])</f>
        <v>0</v>
      </c>
      <c r="N26" s="43">
        <f>IF(RobotDesignResults[[#This Row],[Team Number]]&gt;0,MIN(_xlfn.RANK.EQ(RobotDesignResults[[#This Row],[Robot Design Score]],RobotDesignResults[Robot Design Score],0),NumberOfTeams),NumberOfTeams+1)</f>
        <v>1</v>
      </c>
    </row>
    <row r="27" spans="1:14" ht="30" customHeight="1" x14ac:dyDescent="0.45">
      <c r="A27" s="12">
        <f>_xlfn.XLOOKUP(26,OfficialTeamList[Row],OfficialTeamList[Team Number],"ERROR",0)</f>
        <v>0</v>
      </c>
      <c r="B27" s="42" t="str">
        <f>_xlfn.XLOOKUP(RobotDesignResults[[#This Row],[Team Number]],OfficialTeamList[Team Number],OfficialTeamList[Team Name],"",0,)</f>
        <v/>
      </c>
      <c r="C27" s="17"/>
      <c r="D27" s="17"/>
      <c r="E27" s="17"/>
      <c r="F27" s="17"/>
      <c r="G27" s="17"/>
      <c r="H27" s="17"/>
      <c r="I27" s="17"/>
      <c r="J27" s="17"/>
      <c r="K27" s="17"/>
      <c r="L27" s="17"/>
      <c r="M27" s="12">
        <f>SUM(RobotDesignResults[[#This Row],[Identify - Strategy]:[Communicate - Fun (CV)]])</f>
        <v>0</v>
      </c>
      <c r="N27" s="43">
        <f>IF(RobotDesignResults[[#This Row],[Team Number]]&gt;0,MIN(_xlfn.RANK.EQ(RobotDesignResults[[#This Row],[Robot Design Score]],RobotDesignResults[Robot Design Score],0),NumberOfTeams),NumberOfTeams+1)</f>
        <v>1</v>
      </c>
    </row>
    <row r="28" spans="1:14" ht="30" customHeight="1" x14ac:dyDescent="0.45">
      <c r="A28" s="12">
        <f>_xlfn.XLOOKUP(27,OfficialTeamList[Row],OfficialTeamList[Team Number],"ERROR",0)</f>
        <v>0</v>
      </c>
      <c r="B28" s="42" t="str">
        <f>_xlfn.XLOOKUP(RobotDesignResults[[#This Row],[Team Number]],OfficialTeamList[Team Number],OfficialTeamList[Team Name],"",0,)</f>
        <v/>
      </c>
      <c r="C28" s="17"/>
      <c r="D28" s="17"/>
      <c r="E28" s="17"/>
      <c r="F28" s="17"/>
      <c r="G28" s="17"/>
      <c r="H28" s="17"/>
      <c r="I28" s="17"/>
      <c r="J28" s="17"/>
      <c r="K28" s="17"/>
      <c r="L28" s="17"/>
      <c r="M28" s="12">
        <f>SUM(RobotDesignResults[[#This Row],[Identify - Strategy]:[Communicate - Fun (CV)]])</f>
        <v>0</v>
      </c>
      <c r="N28" s="43">
        <f>IF(RobotDesignResults[[#This Row],[Team Number]]&gt;0,MIN(_xlfn.RANK.EQ(RobotDesignResults[[#This Row],[Robot Design Score]],RobotDesignResults[Robot Design Score],0),NumberOfTeams),NumberOfTeams+1)</f>
        <v>1</v>
      </c>
    </row>
    <row r="29" spans="1:14" ht="30" customHeight="1" x14ac:dyDescent="0.45">
      <c r="A29" s="12">
        <f>_xlfn.XLOOKUP(28,OfficialTeamList[Row],OfficialTeamList[Team Number],"ERROR",0)</f>
        <v>0</v>
      </c>
      <c r="B29" s="42" t="str">
        <f>_xlfn.XLOOKUP(RobotDesignResults[[#This Row],[Team Number]],OfficialTeamList[Team Number],OfficialTeamList[Team Name],"",0,)</f>
        <v/>
      </c>
      <c r="C29" s="17"/>
      <c r="D29" s="17"/>
      <c r="E29" s="17"/>
      <c r="F29" s="17"/>
      <c r="G29" s="17"/>
      <c r="H29" s="17"/>
      <c r="I29" s="17"/>
      <c r="J29" s="17"/>
      <c r="K29" s="17"/>
      <c r="L29" s="17"/>
      <c r="M29" s="12">
        <f>SUM(RobotDesignResults[[#This Row],[Identify - Strategy]:[Communicate - Fun (CV)]])</f>
        <v>0</v>
      </c>
      <c r="N29" s="43">
        <f>IF(RobotDesignResults[[#This Row],[Team Number]]&gt;0,MIN(_xlfn.RANK.EQ(RobotDesignResults[[#This Row],[Robot Design Score]],RobotDesignResults[Robot Design Score],0),NumberOfTeams),NumberOfTeams+1)</f>
        <v>1</v>
      </c>
    </row>
    <row r="30" spans="1:14" ht="30" customHeight="1" x14ac:dyDescent="0.45">
      <c r="A30" s="12">
        <f>_xlfn.XLOOKUP(29,OfficialTeamList[Row],OfficialTeamList[Team Number],"ERROR",0)</f>
        <v>0</v>
      </c>
      <c r="B30" s="42" t="str">
        <f>_xlfn.XLOOKUP(RobotDesignResults[[#This Row],[Team Number]],OfficialTeamList[Team Number],OfficialTeamList[Team Name],"",0,)</f>
        <v/>
      </c>
      <c r="C30" s="17"/>
      <c r="D30" s="17"/>
      <c r="E30" s="17"/>
      <c r="F30" s="17"/>
      <c r="G30" s="17"/>
      <c r="H30" s="17"/>
      <c r="I30" s="17"/>
      <c r="J30" s="17"/>
      <c r="K30" s="17"/>
      <c r="L30" s="17"/>
      <c r="M30" s="12">
        <f>SUM(RobotDesignResults[[#This Row],[Identify - Strategy]:[Communicate - Fun (CV)]])</f>
        <v>0</v>
      </c>
      <c r="N30" s="43">
        <f>IF(RobotDesignResults[[#This Row],[Team Number]]&gt;0,MIN(_xlfn.RANK.EQ(RobotDesignResults[[#This Row],[Robot Design Score]],RobotDesignResults[Robot Design Score],0),NumberOfTeams),NumberOfTeams+1)</f>
        <v>1</v>
      </c>
    </row>
    <row r="31" spans="1:14" ht="30" customHeight="1" x14ac:dyDescent="0.45">
      <c r="A31" s="12">
        <f>_xlfn.XLOOKUP(30,OfficialTeamList[Row],OfficialTeamList[Team Number],"ERROR",0)</f>
        <v>0</v>
      </c>
      <c r="B31" s="42" t="str">
        <f>_xlfn.XLOOKUP(RobotDesignResults[[#This Row],[Team Number]],OfficialTeamList[Team Number],OfficialTeamList[Team Name],"",0,)</f>
        <v/>
      </c>
      <c r="C31" s="17"/>
      <c r="D31" s="17"/>
      <c r="E31" s="17"/>
      <c r="F31" s="17"/>
      <c r="G31" s="17"/>
      <c r="H31" s="17"/>
      <c r="I31" s="17"/>
      <c r="J31" s="17"/>
      <c r="K31" s="17"/>
      <c r="L31" s="17"/>
      <c r="M31" s="12">
        <f>SUM(RobotDesignResults[[#This Row],[Identify - Strategy]:[Communicate - Fun (CV)]])</f>
        <v>0</v>
      </c>
      <c r="N31" s="43">
        <f>IF(RobotDesignResults[[#This Row],[Team Number]]&gt;0,MIN(_xlfn.RANK.EQ(RobotDesignResults[[#This Row],[Robot Design Score]],RobotDesignResults[Robot Design Score],0),NumberOfTeams),NumberOfTeams+1)</f>
        <v>1</v>
      </c>
    </row>
    <row r="32" spans="1:14" ht="30" customHeight="1" x14ac:dyDescent="0.45">
      <c r="A32" s="12">
        <f>_xlfn.XLOOKUP(31,OfficialTeamList[Row],OfficialTeamList[Team Number],"ERROR",0)</f>
        <v>0</v>
      </c>
      <c r="B32" s="42" t="str">
        <f>_xlfn.XLOOKUP(RobotDesignResults[[#This Row],[Team Number]],OfficialTeamList[Team Number],OfficialTeamList[Team Name],"",0,)</f>
        <v/>
      </c>
      <c r="C32" s="17"/>
      <c r="D32" s="17"/>
      <c r="E32" s="17"/>
      <c r="F32" s="17"/>
      <c r="G32" s="17"/>
      <c r="H32" s="17"/>
      <c r="I32" s="17"/>
      <c r="J32" s="17"/>
      <c r="K32" s="17"/>
      <c r="L32" s="17"/>
      <c r="M32" s="12">
        <f>SUM(RobotDesignResults[[#This Row],[Identify - Strategy]:[Communicate - Fun (CV)]])</f>
        <v>0</v>
      </c>
      <c r="N32" s="43">
        <f>IF(RobotDesignResults[[#This Row],[Team Number]]&gt;0,MIN(_xlfn.RANK.EQ(RobotDesignResults[[#This Row],[Robot Design Score]],RobotDesignResults[Robot Design Score],0),NumberOfTeams),NumberOfTeams+1)</f>
        <v>1</v>
      </c>
    </row>
    <row r="33" spans="1:14" ht="30" customHeight="1" x14ac:dyDescent="0.45">
      <c r="A33" s="12">
        <f>_xlfn.XLOOKUP(32,OfficialTeamList[Row],OfficialTeamList[Team Number],"ERROR",0)</f>
        <v>0</v>
      </c>
      <c r="B33" s="42" t="str">
        <f>_xlfn.XLOOKUP(RobotDesignResults[[#This Row],[Team Number]],OfficialTeamList[Team Number],OfficialTeamList[Team Name],"",0,)</f>
        <v/>
      </c>
      <c r="C33" s="17"/>
      <c r="D33" s="17"/>
      <c r="E33" s="17"/>
      <c r="F33" s="17"/>
      <c r="G33" s="17"/>
      <c r="H33" s="17"/>
      <c r="I33" s="17"/>
      <c r="J33" s="17"/>
      <c r="K33" s="17"/>
      <c r="L33" s="17"/>
      <c r="M33" s="12">
        <f>SUM(RobotDesignResults[[#This Row],[Identify - Strategy]:[Communicate - Fun (CV)]])</f>
        <v>0</v>
      </c>
      <c r="N33" s="43">
        <f>IF(RobotDesignResults[[#This Row],[Team Number]]&gt;0,MIN(_xlfn.RANK.EQ(RobotDesignResults[[#This Row],[Robot Design Score]],RobotDesignResults[Robot Design Score],0),NumberOfTeams),NumberOfTeams+1)</f>
        <v>1</v>
      </c>
    </row>
    <row r="34" spans="1:14" ht="30" customHeight="1" x14ac:dyDescent="0.45">
      <c r="A34" s="12">
        <f>_xlfn.XLOOKUP(33,OfficialTeamList[Row],OfficialTeamList[Team Number],"ERROR",0)</f>
        <v>0</v>
      </c>
      <c r="B34" s="42" t="str">
        <f>_xlfn.XLOOKUP(RobotDesignResults[[#This Row],[Team Number]],OfficialTeamList[Team Number],OfficialTeamList[Team Name],"",0,)</f>
        <v/>
      </c>
      <c r="C34" s="17"/>
      <c r="D34" s="17"/>
      <c r="E34" s="17"/>
      <c r="F34" s="17"/>
      <c r="G34" s="17"/>
      <c r="H34" s="17"/>
      <c r="I34" s="17"/>
      <c r="J34" s="17"/>
      <c r="K34" s="17"/>
      <c r="L34" s="17"/>
      <c r="M34" s="12">
        <f>SUM(RobotDesignResults[[#This Row],[Identify - Strategy]:[Communicate - Fun (CV)]])</f>
        <v>0</v>
      </c>
      <c r="N34" s="43">
        <f>IF(RobotDesignResults[[#This Row],[Team Number]]&gt;0,MIN(_xlfn.RANK.EQ(RobotDesignResults[[#This Row],[Robot Design Score]],RobotDesignResults[Robot Design Score],0),NumberOfTeams),NumberOfTeams+1)</f>
        <v>1</v>
      </c>
    </row>
    <row r="35" spans="1:14" ht="30" customHeight="1" x14ac:dyDescent="0.45">
      <c r="A35" s="12">
        <f>_xlfn.XLOOKUP(34,OfficialTeamList[Row],OfficialTeamList[Team Number],"ERROR",0)</f>
        <v>0</v>
      </c>
      <c r="B35" s="42" t="str">
        <f>_xlfn.XLOOKUP(RobotDesignResults[[#This Row],[Team Number]],OfficialTeamList[Team Number],OfficialTeamList[Team Name],"",0,)</f>
        <v/>
      </c>
      <c r="C35" s="17"/>
      <c r="D35" s="17"/>
      <c r="E35" s="17"/>
      <c r="F35" s="17"/>
      <c r="G35" s="17"/>
      <c r="H35" s="17"/>
      <c r="I35" s="17"/>
      <c r="J35" s="17"/>
      <c r="K35" s="17"/>
      <c r="L35" s="17"/>
      <c r="M35" s="12">
        <f>SUM(RobotDesignResults[[#This Row],[Identify - Strategy]:[Communicate - Fun (CV)]])</f>
        <v>0</v>
      </c>
      <c r="N35" s="43">
        <f>IF(RobotDesignResults[[#This Row],[Team Number]]&gt;0,MIN(_xlfn.RANK.EQ(RobotDesignResults[[#This Row],[Robot Design Score]],RobotDesignResults[Robot Design Score],0),NumberOfTeams),NumberOfTeams+1)</f>
        <v>1</v>
      </c>
    </row>
    <row r="36" spans="1:14" ht="30" customHeight="1" x14ac:dyDescent="0.45">
      <c r="A36" s="12">
        <f>_xlfn.XLOOKUP(35,OfficialTeamList[Row],OfficialTeamList[Team Number],"ERROR",0)</f>
        <v>0</v>
      </c>
      <c r="B36" s="42" t="str">
        <f>_xlfn.XLOOKUP(RobotDesignResults[[#This Row],[Team Number]],OfficialTeamList[Team Number],OfficialTeamList[Team Name],"",0,)</f>
        <v/>
      </c>
      <c r="C36" s="17"/>
      <c r="D36" s="17"/>
      <c r="E36" s="17"/>
      <c r="F36" s="17"/>
      <c r="G36" s="17"/>
      <c r="H36" s="17"/>
      <c r="I36" s="17"/>
      <c r="J36" s="17"/>
      <c r="K36" s="17"/>
      <c r="L36" s="17"/>
      <c r="M36" s="12">
        <f>SUM(RobotDesignResults[[#This Row],[Identify - Strategy]:[Communicate - Fun (CV)]])</f>
        <v>0</v>
      </c>
      <c r="N36" s="43">
        <f>IF(RobotDesignResults[[#This Row],[Team Number]]&gt;0,MIN(_xlfn.RANK.EQ(RobotDesignResults[[#This Row],[Robot Design Score]],RobotDesignResults[Robot Design Score],0),NumberOfTeams),NumberOfTeams+1)</f>
        <v>1</v>
      </c>
    </row>
    <row r="37" spans="1:14" ht="30" customHeight="1" x14ac:dyDescent="0.45">
      <c r="A37" s="12">
        <f>_xlfn.XLOOKUP(36,OfficialTeamList[Row],OfficialTeamList[Team Number],"ERROR",0)</f>
        <v>0</v>
      </c>
      <c r="B37" s="42" t="str">
        <f>_xlfn.XLOOKUP(RobotDesignResults[[#This Row],[Team Number]],OfficialTeamList[Team Number],OfficialTeamList[Team Name],"",0,)</f>
        <v/>
      </c>
      <c r="C37" s="17"/>
      <c r="D37" s="17"/>
      <c r="E37" s="17"/>
      <c r="F37" s="17"/>
      <c r="G37" s="17"/>
      <c r="H37" s="17"/>
      <c r="I37" s="17"/>
      <c r="J37" s="17"/>
      <c r="K37" s="17"/>
      <c r="L37" s="17"/>
      <c r="M37" s="12">
        <f>SUM(RobotDesignResults[[#This Row],[Identify - Strategy]:[Communicate - Fun (CV)]])</f>
        <v>0</v>
      </c>
      <c r="N37" s="43">
        <f>IF(RobotDesignResults[[#This Row],[Team Number]]&gt;0,MIN(_xlfn.RANK.EQ(RobotDesignResults[[#This Row],[Robot Design Score]],RobotDesignResults[Robot Design Score],0),NumberOfTeams),NumberOfTeams+1)</f>
        <v>1</v>
      </c>
    </row>
    <row r="38" spans="1:14" ht="30" customHeight="1" x14ac:dyDescent="0.45">
      <c r="A38" s="12">
        <f>_xlfn.XLOOKUP(37,OfficialTeamList[Row],OfficialTeamList[Team Number],"ERROR",0)</f>
        <v>0</v>
      </c>
      <c r="B38" s="42" t="str">
        <f>_xlfn.XLOOKUP(RobotDesignResults[[#This Row],[Team Number]],OfficialTeamList[Team Number],OfficialTeamList[Team Name],"",0,)</f>
        <v/>
      </c>
      <c r="C38" s="17"/>
      <c r="D38" s="17"/>
      <c r="E38" s="17"/>
      <c r="F38" s="17"/>
      <c r="G38" s="17"/>
      <c r="H38" s="17"/>
      <c r="I38" s="17"/>
      <c r="J38" s="17"/>
      <c r="K38" s="17"/>
      <c r="L38" s="17"/>
      <c r="M38" s="12">
        <f>SUM(RobotDesignResults[[#This Row],[Identify - Strategy]:[Communicate - Fun (CV)]])</f>
        <v>0</v>
      </c>
      <c r="N38" s="43">
        <f>IF(RobotDesignResults[[#This Row],[Team Number]]&gt;0,MIN(_xlfn.RANK.EQ(RobotDesignResults[[#This Row],[Robot Design Score]],RobotDesignResults[Robot Design Score],0),NumberOfTeams),NumberOfTeams+1)</f>
        <v>1</v>
      </c>
    </row>
    <row r="39" spans="1:14" ht="30" customHeight="1" x14ac:dyDescent="0.45">
      <c r="A39" s="12">
        <f>_xlfn.XLOOKUP(38,OfficialTeamList[Row],OfficialTeamList[Team Number],"ERROR",0)</f>
        <v>0</v>
      </c>
      <c r="B39" s="42" t="str">
        <f>_xlfn.XLOOKUP(RobotDesignResults[[#This Row],[Team Number]],OfficialTeamList[Team Number],OfficialTeamList[Team Name],"",0,)</f>
        <v/>
      </c>
      <c r="C39" s="17"/>
      <c r="D39" s="17"/>
      <c r="E39" s="17"/>
      <c r="F39" s="17"/>
      <c r="G39" s="17"/>
      <c r="H39" s="17"/>
      <c r="I39" s="17"/>
      <c r="J39" s="17"/>
      <c r="K39" s="17"/>
      <c r="L39" s="17"/>
      <c r="M39" s="12">
        <f>SUM(RobotDesignResults[[#This Row],[Identify - Strategy]:[Communicate - Fun (CV)]])</f>
        <v>0</v>
      </c>
      <c r="N39" s="43">
        <f>IF(RobotDesignResults[[#This Row],[Team Number]]&gt;0,MIN(_xlfn.RANK.EQ(RobotDesignResults[[#This Row],[Robot Design Score]],RobotDesignResults[Robot Design Score],0),NumberOfTeams),NumberOfTeams+1)</f>
        <v>1</v>
      </c>
    </row>
    <row r="40" spans="1:14" ht="30" customHeight="1" x14ac:dyDescent="0.45">
      <c r="A40" s="12">
        <f>_xlfn.XLOOKUP(39,OfficialTeamList[Row],OfficialTeamList[Team Number],"ERROR",0)</f>
        <v>0</v>
      </c>
      <c r="B40" s="42" t="str">
        <f>_xlfn.XLOOKUP(RobotDesignResults[[#This Row],[Team Number]],OfficialTeamList[Team Number],OfficialTeamList[Team Name],"",0,)</f>
        <v/>
      </c>
      <c r="C40" s="17"/>
      <c r="D40" s="17"/>
      <c r="E40" s="17"/>
      <c r="F40" s="17"/>
      <c r="G40" s="17"/>
      <c r="H40" s="17"/>
      <c r="I40" s="17"/>
      <c r="J40" s="17"/>
      <c r="K40" s="17"/>
      <c r="L40" s="17"/>
      <c r="M40" s="12">
        <f>SUM(RobotDesignResults[[#This Row],[Identify - Strategy]:[Communicate - Fun (CV)]])</f>
        <v>0</v>
      </c>
      <c r="N40" s="43">
        <f>IF(RobotDesignResults[[#This Row],[Team Number]]&gt;0,MIN(_xlfn.RANK.EQ(RobotDesignResults[[#This Row],[Robot Design Score]],RobotDesignResults[Robot Design Score],0),NumberOfTeams),NumberOfTeams+1)</f>
        <v>1</v>
      </c>
    </row>
    <row r="41" spans="1:14" ht="30" customHeight="1" x14ac:dyDescent="0.45">
      <c r="A41" s="12">
        <f>_xlfn.XLOOKUP(40,OfficialTeamList[Row],OfficialTeamList[Team Number],"ERROR",0)</f>
        <v>0</v>
      </c>
      <c r="B41" s="42" t="str">
        <f>_xlfn.XLOOKUP(RobotDesignResults[[#This Row],[Team Number]],OfficialTeamList[Team Number],OfficialTeamList[Team Name],"",0,)</f>
        <v/>
      </c>
      <c r="C41" s="17"/>
      <c r="D41" s="17"/>
      <c r="E41" s="17"/>
      <c r="F41" s="17"/>
      <c r="G41" s="17"/>
      <c r="H41" s="17"/>
      <c r="I41" s="17"/>
      <c r="J41" s="17"/>
      <c r="K41" s="17"/>
      <c r="L41" s="17"/>
      <c r="M41" s="12">
        <f>SUM(RobotDesignResults[[#This Row],[Identify - Strategy]:[Communicate - Fun (CV)]])</f>
        <v>0</v>
      </c>
      <c r="N41" s="43">
        <f>IF(RobotDesignResults[[#This Row],[Team Number]]&gt;0,MIN(_xlfn.RANK.EQ(RobotDesignResults[[#This Row],[Robot Design Score]],RobotDesignResults[Robot Design Score],0),NumberOfTeams),NumberOfTeams+1)</f>
        <v>1</v>
      </c>
    </row>
    <row r="42" spans="1:14" ht="30" customHeight="1" x14ac:dyDescent="0.45">
      <c r="A42" s="12">
        <f>_xlfn.XLOOKUP(41,OfficialTeamList[Row],OfficialTeamList[Team Number],"ERROR",0)</f>
        <v>0</v>
      </c>
      <c r="B42" s="42" t="str">
        <f>_xlfn.XLOOKUP(RobotDesignResults[[#This Row],[Team Number]],OfficialTeamList[Team Number],OfficialTeamList[Team Name],"",0,)</f>
        <v/>
      </c>
      <c r="C42" s="17"/>
      <c r="D42" s="17"/>
      <c r="E42" s="17"/>
      <c r="F42" s="17"/>
      <c r="G42" s="17"/>
      <c r="H42" s="17"/>
      <c r="I42" s="17"/>
      <c r="J42" s="17"/>
      <c r="K42" s="17"/>
      <c r="L42" s="17"/>
      <c r="M42" s="12">
        <f>SUM(RobotDesignResults[[#This Row],[Identify - Strategy]:[Communicate - Fun (CV)]])</f>
        <v>0</v>
      </c>
      <c r="N42" s="43">
        <f>IF(RobotDesignResults[[#This Row],[Team Number]]&gt;0,MIN(_xlfn.RANK.EQ(RobotDesignResults[[#This Row],[Robot Design Score]],RobotDesignResults[Robot Design Score],0),NumberOfTeams),NumberOfTeams+1)</f>
        <v>1</v>
      </c>
    </row>
    <row r="43" spans="1:14" ht="30" customHeight="1" x14ac:dyDescent="0.45">
      <c r="A43" s="12">
        <f>_xlfn.XLOOKUP(42,OfficialTeamList[Row],OfficialTeamList[Team Number],"ERROR",0)</f>
        <v>0</v>
      </c>
      <c r="B43" s="42" t="str">
        <f>_xlfn.XLOOKUP(RobotDesignResults[[#This Row],[Team Number]],OfficialTeamList[Team Number],OfficialTeamList[Team Name],"",0,)</f>
        <v/>
      </c>
      <c r="C43" s="17"/>
      <c r="D43" s="17"/>
      <c r="E43" s="17"/>
      <c r="F43" s="17"/>
      <c r="G43" s="17"/>
      <c r="H43" s="17"/>
      <c r="I43" s="17"/>
      <c r="J43" s="17"/>
      <c r="K43" s="17"/>
      <c r="L43" s="17"/>
      <c r="M43" s="12">
        <f>SUM(RobotDesignResults[[#This Row],[Identify - Strategy]:[Communicate - Fun (CV)]])</f>
        <v>0</v>
      </c>
      <c r="N43" s="43">
        <f>IF(RobotDesignResults[[#This Row],[Team Number]]&gt;0,MIN(_xlfn.RANK.EQ(RobotDesignResults[[#This Row],[Robot Design Score]],RobotDesignResults[Robot Design Score],0),NumberOfTeams),NumberOfTeams+1)</f>
        <v>1</v>
      </c>
    </row>
    <row r="44" spans="1:14" ht="30" customHeight="1" x14ac:dyDescent="0.45">
      <c r="A44" s="12">
        <f>_xlfn.XLOOKUP(43,OfficialTeamList[Row],OfficialTeamList[Team Number],"ERROR",0)</f>
        <v>0</v>
      </c>
      <c r="B44" s="42" t="str">
        <f>_xlfn.XLOOKUP(RobotDesignResults[[#This Row],[Team Number]],OfficialTeamList[Team Number],OfficialTeamList[Team Name],"",0,)</f>
        <v/>
      </c>
      <c r="C44" s="17"/>
      <c r="D44" s="17"/>
      <c r="E44" s="17"/>
      <c r="F44" s="17"/>
      <c r="G44" s="17"/>
      <c r="H44" s="17"/>
      <c r="I44" s="17"/>
      <c r="J44" s="17"/>
      <c r="K44" s="17"/>
      <c r="L44" s="17"/>
      <c r="M44" s="12">
        <f>SUM(RobotDesignResults[[#This Row],[Identify - Strategy]:[Communicate - Fun (CV)]])</f>
        <v>0</v>
      </c>
      <c r="N44" s="43">
        <f>IF(RobotDesignResults[[#This Row],[Team Number]]&gt;0,MIN(_xlfn.RANK.EQ(RobotDesignResults[[#This Row],[Robot Design Score]],RobotDesignResults[Robot Design Score],0),NumberOfTeams),NumberOfTeams+1)</f>
        <v>1</v>
      </c>
    </row>
    <row r="45" spans="1:14" ht="30" customHeight="1" x14ac:dyDescent="0.45">
      <c r="A45" s="12">
        <f>_xlfn.XLOOKUP(44,OfficialTeamList[Row],OfficialTeamList[Team Number],"ERROR",0)</f>
        <v>0</v>
      </c>
      <c r="B45" s="42" t="str">
        <f>_xlfn.XLOOKUP(RobotDesignResults[[#This Row],[Team Number]],OfficialTeamList[Team Number],OfficialTeamList[Team Name],"",0,)</f>
        <v/>
      </c>
      <c r="C45" s="17"/>
      <c r="D45" s="17"/>
      <c r="E45" s="17"/>
      <c r="F45" s="17"/>
      <c r="G45" s="17"/>
      <c r="H45" s="17"/>
      <c r="I45" s="17"/>
      <c r="J45" s="17"/>
      <c r="K45" s="17"/>
      <c r="L45" s="17"/>
      <c r="M45" s="12">
        <f>SUM(RobotDesignResults[[#This Row],[Identify - Strategy]:[Communicate - Fun (CV)]])</f>
        <v>0</v>
      </c>
      <c r="N45" s="43">
        <f>IF(RobotDesignResults[[#This Row],[Team Number]]&gt;0,MIN(_xlfn.RANK.EQ(RobotDesignResults[[#This Row],[Robot Design Score]],RobotDesignResults[Robot Design Score],0),NumberOfTeams),NumberOfTeams+1)</f>
        <v>1</v>
      </c>
    </row>
    <row r="46" spans="1:14" ht="30" customHeight="1" x14ac:dyDescent="0.45">
      <c r="A46" s="12">
        <f>_xlfn.XLOOKUP(45,OfficialTeamList[Row],OfficialTeamList[Team Number],"ERROR",0)</f>
        <v>0</v>
      </c>
      <c r="B46" s="42" t="str">
        <f>_xlfn.XLOOKUP(RobotDesignResults[[#This Row],[Team Number]],OfficialTeamList[Team Number],OfficialTeamList[Team Name],"",0,)</f>
        <v/>
      </c>
      <c r="C46" s="17"/>
      <c r="D46" s="17"/>
      <c r="E46" s="17"/>
      <c r="F46" s="17"/>
      <c r="G46" s="17"/>
      <c r="H46" s="17"/>
      <c r="I46" s="17"/>
      <c r="J46" s="17"/>
      <c r="K46" s="17"/>
      <c r="L46" s="17"/>
      <c r="M46" s="12">
        <f>SUM(RobotDesignResults[[#This Row],[Identify - Strategy]:[Communicate - Fun (CV)]])</f>
        <v>0</v>
      </c>
      <c r="N46" s="43">
        <f>IF(RobotDesignResults[[#This Row],[Team Number]]&gt;0,MIN(_xlfn.RANK.EQ(RobotDesignResults[[#This Row],[Robot Design Score]],RobotDesignResults[Robot Design Score],0),NumberOfTeams),NumberOfTeams+1)</f>
        <v>1</v>
      </c>
    </row>
    <row r="47" spans="1:14" ht="30" customHeight="1" x14ac:dyDescent="0.45">
      <c r="A47" s="12">
        <f>_xlfn.XLOOKUP(46,OfficialTeamList[Row],OfficialTeamList[Team Number],"ERROR",0)</f>
        <v>0</v>
      </c>
      <c r="B47" s="42" t="str">
        <f>_xlfn.XLOOKUP(RobotDesignResults[[#This Row],[Team Number]],OfficialTeamList[Team Number],OfficialTeamList[Team Name],"",0,)</f>
        <v/>
      </c>
      <c r="C47" s="17"/>
      <c r="D47" s="17"/>
      <c r="E47" s="17"/>
      <c r="F47" s="17"/>
      <c r="G47" s="17"/>
      <c r="H47" s="17"/>
      <c r="I47" s="17"/>
      <c r="J47" s="17"/>
      <c r="K47" s="17"/>
      <c r="L47" s="17"/>
      <c r="M47" s="12">
        <f>SUM(RobotDesignResults[[#This Row],[Identify - Strategy]:[Communicate - Fun (CV)]])</f>
        <v>0</v>
      </c>
      <c r="N47" s="43">
        <f>IF(RobotDesignResults[[#This Row],[Team Number]]&gt;0,MIN(_xlfn.RANK.EQ(RobotDesignResults[[#This Row],[Robot Design Score]],RobotDesignResults[Robot Design Score],0),NumberOfTeams),NumberOfTeams+1)</f>
        <v>1</v>
      </c>
    </row>
    <row r="48" spans="1:14" ht="30" customHeight="1" x14ac:dyDescent="0.45">
      <c r="A48" s="12">
        <f>_xlfn.XLOOKUP(47,OfficialTeamList[Row],OfficialTeamList[Team Number],"ERROR",0)</f>
        <v>0</v>
      </c>
      <c r="B48" s="42" t="str">
        <f>_xlfn.XLOOKUP(RobotDesignResults[[#This Row],[Team Number]],OfficialTeamList[Team Number],OfficialTeamList[Team Name],"",0,)</f>
        <v/>
      </c>
      <c r="C48" s="17"/>
      <c r="D48" s="17"/>
      <c r="E48" s="17"/>
      <c r="F48" s="17"/>
      <c r="G48" s="17"/>
      <c r="H48" s="17"/>
      <c r="I48" s="17"/>
      <c r="J48" s="17"/>
      <c r="K48" s="17"/>
      <c r="L48" s="17"/>
      <c r="M48" s="12">
        <f>SUM(RobotDesignResults[[#This Row],[Identify - Strategy]:[Communicate - Fun (CV)]])</f>
        <v>0</v>
      </c>
      <c r="N48" s="43">
        <f>IF(RobotDesignResults[[#This Row],[Team Number]]&gt;0,MIN(_xlfn.RANK.EQ(RobotDesignResults[[#This Row],[Robot Design Score]],RobotDesignResults[Robot Design Score],0),NumberOfTeams),NumberOfTeams+1)</f>
        <v>1</v>
      </c>
    </row>
    <row r="49" spans="1:14" ht="30" customHeight="1" x14ac:dyDescent="0.45">
      <c r="A49" s="12">
        <f>_xlfn.XLOOKUP(48,OfficialTeamList[Row],OfficialTeamList[Team Number],"ERROR",0)</f>
        <v>0</v>
      </c>
      <c r="B49" s="42" t="str">
        <f>_xlfn.XLOOKUP(RobotDesignResults[[#This Row],[Team Number]],OfficialTeamList[Team Number],OfficialTeamList[Team Name],"",0,)</f>
        <v/>
      </c>
      <c r="C49" s="17"/>
      <c r="D49" s="17"/>
      <c r="E49" s="17"/>
      <c r="F49" s="17"/>
      <c r="G49" s="17"/>
      <c r="H49" s="17"/>
      <c r="I49" s="17"/>
      <c r="J49" s="17"/>
      <c r="K49" s="17"/>
      <c r="L49" s="17"/>
      <c r="M49" s="12">
        <f>SUM(RobotDesignResults[[#This Row],[Identify - Strategy]:[Communicate - Fun (CV)]])</f>
        <v>0</v>
      </c>
      <c r="N49" s="43">
        <f>IF(RobotDesignResults[[#This Row],[Team Number]]&gt;0,MIN(_xlfn.RANK.EQ(RobotDesignResults[[#This Row],[Robot Design Score]],RobotDesignResults[Robot Design Score],0),NumberOfTeams),NumberOfTeams+1)</f>
        <v>1</v>
      </c>
    </row>
    <row r="50" spans="1:14" ht="30" customHeight="1" x14ac:dyDescent="0.45">
      <c r="A50" s="12">
        <f>_xlfn.XLOOKUP(49,OfficialTeamList[Row],OfficialTeamList[Team Number],"ERROR",0)</f>
        <v>0</v>
      </c>
      <c r="B50" s="42" t="str">
        <f>_xlfn.XLOOKUP(RobotDesignResults[[#This Row],[Team Number]],OfficialTeamList[Team Number],OfficialTeamList[Team Name],"",0,)</f>
        <v/>
      </c>
      <c r="C50" s="17"/>
      <c r="D50" s="17"/>
      <c r="E50" s="17"/>
      <c r="F50" s="17"/>
      <c r="G50" s="17"/>
      <c r="H50" s="17"/>
      <c r="I50" s="17"/>
      <c r="J50" s="17"/>
      <c r="K50" s="17"/>
      <c r="L50" s="17"/>
      <c r="M50" s="12">
        <f>SUM(RobotDesignResults[[#This Row],[Identify - Strategy]:[Communicate - Fun (CV)]])</f>
        <v>0</v>
      </c>
      <c r="N50" s="43">
        <f>IF(RobotDesignResults[[#This Row],[Team Number]]&gt;0,MIN(_xlfn.RANK.EQ(RobotDesignResults[[#This Row],[Robot Design Score]],RobotDesignResults[Robot Design Score],0),NumberOfTeams),NumberOfTeams+1)</f>
        <v>1</v>
      </c>
    </row>
    <row r="51" spans="1:14" ht="30" customHeight="1" x14ac:dyDescent="0.45">
      <c r="A51" s="12">
        <f>_xlfn.XLOOKUP(50,OfficialTeamList[Row],OfficialTeamList[Team Number],"ERROR",0)</f>
        <v>0</v>
      </c>
      <c r="B51" s="42" t="str">
        <f>_xlfn.XLOOKUP(RobotDesignResults[[#This Row],[Team Number]],OfficialTeamList[Team Number],OfficialTeamList[Team Name],"",0,)</f>
        <v/>
      </c>
      <c r="C51" s="17"/>
      <c r="D51" s="17"/>
      <c r="E51" s="17"/>
      <c r="F51" s="17"/>
      <c r="G51" s="17"/>
      <c r="H51" s="17"/>
      <c r="I51" s="17"/>
      <c r="J51" s="17"/>
      <c r="K51" s="17"/>
      <c r="L51" s="17"/>
      <c r="M51" s="12">
        <f>SUM(RobotDesignResults[[#This Row],[Identify - Strategy]:[Communicate - Fun (CV)]])</f>
        <v>0</v>
      </c>
      <c r="N51" s="43">
        <f>IF(RobotDesignResults[[#This Row],[Team Number]]&gt;0,MIN(_xlfn.RANK.EQ(RobotDesignResults[[#This Row],[Robot Design Score]],RobotDesignResults[Robot Design Score],0),NumberOfTeams),NumberOfTeams+1)</f>
        <v>1</v>
      </c>
    </row>
    <row r="52" spans="1:14" ht="30" customHeight="1" x14ac:dyDescent="0.45">
      <c r="A52" s="12">
        <f>_xlfn.XLOOKUP(51,OfficialTeamList[Row],OfficialTeamList[Team Number],"ERROR",0)</f>
        <v>0</v>
      </c>
      <c r="B52" s="42" t="str">
        <f>_xlfn.XLOOKUP(RobotDesignResults[[#This Row],[Team Number]],OfficialTeamList[Team Number],OfficialTeamList[Team Name],"",0,)</f>
        <v/>
      </c>
      <c r="C52" s="17"/>
      <c r="D52" s="17"/>
      <c r="E52" s="17"/>
      <c r="F52" s="17"/>
      <c r="G52" s="17"/>
      <c r="H52" s="17"/>
      <c r="I52" s="17"/>
      <c r="J52" s="17"/>
      <c r="K52" s="17"/>
      <c r="L52" s="17"/>
      <c r="M52" s="12">
        <f>SUM(RobotDesignResults[[#This Row],[Identify - Strategy]:[Communicate - Fun (CV)]])</f>
        <v>0</v>
      </c>
      <c r="N52" s="43">
        <f>IF(RobotDesignResults[[#This Row],[Team Number]]&gt;0,MIN(_xlfn.RANK.EQ(RobotDesignResults[[#This Row],[Robot Design Score]],RobotDesignResults[Robot Design Score],0),NumberOfTeams),NumberOfTeams+1)</f>
        <v>1</v>
      </c>
    </row>
    <row r="53" spans="1:14" ht="30" customHeight="1" x14ac:dyDescent="0.45">
      <c r="A53" s="12">
        <f>_xlfn.XLOOKUP(52,OfficialTeamList[Row],OfficialTeamList[Team Number],"ERROR",0)</f>
        <v>0</v>
      </c>
      <c r="B53" s="42" t="str">
        <f>_xlfn.XLOOKUP(RobotDesignResults[[#This Row],[Team Number]],OfficialTeamList[Team Number],OfficialTeamList[Team Name],"",0,)</f>
        <v/>
      </c>
      <c r="C53" s="17"/>
      <c r="D53" s="17"/>
      <c r="E53" s="17"/>
      <c r="F53" s="17"/>
      <c r="G53" s="17"/>
      <c r="H53" s="17"/>
      <c r="I53" s="17"/>
      <c r="J53" s="17"/>
      <c r="K53" s="17"/>
      <c r="L53" s="17"/>
      <c r="M53" s="12">
        <f>SUM(RobotDesignResults[[#This Row],[Identify - Strategy]:[Communicate - Fun (CV)]])</f>
        <v>0</v>
      </c>
      <c r="N53" s="43">
        <f>IF(RobotDesignResults[[#This Row],[Team Number]]&gt;0,MIN(_xlfn.RANK.EQ(RobotDesignResults[[#This Row],[Robot Design Score]],RobotDesignResults[Robot Design Score],0),NumberOfTeams),NumberOfTeams+1)</f>
        <v>1</v>
      </c>
    </row>
    <row r="54" spans="1:14" ht="30" customHeight="1" x14ac:dyDescent="0.45">
      <c r="A54" s="12">
        <f>_xlfn.XLOOKUP(53,OfficialTeamList[Row],OfficialTeamList[Team Number],"ERROR",0)</f>
        <v>0</v>
      </c>
      <c r="B54" s="42" t="str">
        <f>_xlfn.XLOOKUP(RobotDesignResults[[#This Row],[Team Number]],OfficialTeamList[Team Number],OfficialTeamList[Team Name],"",0,)</f>
        <v/>
      </c>
      <c r="C54" s="17"/>
      <c r="D54" s="17"/>
      <c r="E54" s="17"/>
      <c r="F54" s="17"/>
      <c r="G54" s="17"/>
      <c r="H54" s="17"/>
      <c r="I54" s="17"/>
      <c r="J54" s="17"/>
      <c r="K54" s="17"/>
      <c r="L54" s="17"/>
      <c r="M54" s="12">
        <f>SUM(RobotDesignResults[[#This Row],[Identify - Strategy]:[Communicate - Fun (CV)]])</f>
        <v>0</v>
      </c>
      <c r="N54" s="43">
        <f>IF(RobotDesignResults[[#This Row],[Team Number]]&gt;0,MIN(_xlfn.RANK.EQ(RobotDesignResults[[#This Row],[Robot Design Score]],RobotDesignResults[Robot Design Score],0),NumberOfTeams),NumberOfTeams+1)</f>
        <v>1</v>
      </c>
    </row>
    <row r="55" spans="1:14" ht="30" customHeight="1" x14ac:dyDescent="0.45">
      <c r="A55" s="12">
        <f>_xlfn.XLOOKUP(54,OfficialTeamList[Row],OfficialTeamList[Team Number],"ERROR",0)</f>
        <v>0</v>
      </c>
      <c r="B55" s="42" t="str">
        <f>_xlfn.XLOOKUP(RobotDesignResults[[#This Row],[Team Number]],OfficialTeamList[Team Number],OfficialTeamList[Team Name],"",0,)</f>
        <v/>
      </c>
      <c r="C55" s="17"/>
      <c r="D55" s="17"/>
      <c r="E55" s="17"/>
      <c r="F55" s="17"/>
      <c r="G55" s="17"/>
      <c r="H55" s="17"/>
      <c r="I55" s="17"/>
      <c r="J55" s="17"/>
      <c r="K55" s="17"/>
      <c r="L55" s="17"/>
      <c r="M55" s="12">
        <f>SUM(RobotDesignResults[[#This Row],[Identify - Strategy]:[Communicate - Fun (CV)]])</f>
        <v>0</v>
      </c>
      <c r="N55" s="43">
        <f>IF(RobotDesignResults[[#This Row],[Team Number]]&gt;0,MIN(_xlfn.RANK.EQ(RobotDesignResults[[#This Row],[Robot Design Score]],RobotDesignResults[Robot Design Score],0),NumberOfTeams),NumberOfTeams+1)</f>
        <v>1</v>
      </c>
    </row>
    <row r="56" spans="1:14" ht="30" customHeight="1" x14ac:dyDescent="0.45">
      <c r="A56" s="12">
        <f>_xlfn.XLOOKUP(55,OfficialTeamList[Row],OfficialTeamList[Team Number],"ERROR",0)</f>
        <v>0</v>
      </c>
      <c r="B56" s="42" t="str">
        <f>_xlfn.XLOOKUP(RobotDesignResults[[#This Row],[Team Number]],OfficialTeamList[Team Number],OfficialTeamList[Team Name],"",0,)</f>
        <v/>
      </c>
      <c r="C56" s="17"/>
      <c r="D56" s="17"/>
      <c r="E56" s="17"/>
      <c r="F56" s="17"/>
      <c r="G56" s="17"/>
      <c r="H56" s="17"/>
      <c r="I56" s="17"/>
      <c r="J56" s="17"/>
      <c r="K56" s="17"/>
      <c r="L56" s="17"/>
      <c r="M56" s="12">
        <f>SUM(RobotDesignResults[[#This Row],[Identify - Strategy]:[Communicate - Fun (CV)]])</f>
        <v>0</v>
      </c>
      <c r="N56" s="43">
        <f>IF(RobotDesignResults[[#This Row],[Team Number]]&gt;0,MIN(_xlfn.RANK.EQ(RobotDesignResults[[#This Row],[Robot Design Score]],RobotDesignResults[Robot Design Score],0),NumberOfTeams),NumberOfTeams+1)</f>
        <v>1</v>
      </c>
    </row>
    <row r="57" spans="1:14" ht="30" customHeight="1" x14ac:dyDescent="0.45">
      <c r="A57" s="12">
        <f>_xlfn.XLOOKUP(56,OfficialTeamList[Row],OfficialTeamList[Team Number],"ERROR",0)</f>
        <v>0</v>
      </c>
      <c r="B57" s="42" t="str">
        <f>_xlfn.XLOOKUP(RobotDesignResults[[#This Row],[Team Number]],OfficialTeamList[Team Number],OfficialTeamList[Team Name],"",0,)</f>
        <v/>
      </c>
      <c r="C57" s="17"/>
      <c r="D57" s="17"/>
      <c r="E57" s="17"/>
      <c r="F57" s="17"/>
      <c r="G57" s="17"/>
      <c r="H57" s="17"/>
      <c r="I57" s="17"/>
      <c r="J57" s="17"/>
      <c r="K57" s="17"/>
      <c r="L57" s="17"/>
      <c r="M57" s="12">
        <f>SUM(RobotDesignResults[[#This Row],[Identify - Strategy]:[Communicate - Fun (CV)]])</f>
        <v>0</v>
      </c>
      <c r="N57" s="43">
        <f>IF(RobotDesignResults[[#This Row],[Team Number]]&gt;0,MIN(_xlfn.RANK.EQ(RobotDesignResults[[#This Row],[Robot Design Score]],RobotDesignResults[Robot Design Score],0),NumberOfTeams),NumberOfTeams+1)</f>
        <v>1</v>
      </c>
    </row>
    <row r="58" spans="1:14" ht="30" customHeight="1" x14ac:dyDescent="0.45">
      <c r="A58" s="12">
        <f>_xlfn.XLOOKUP(57,OfficialTeamList[Row],OfficialTeamList[Team Number],"ERROR",0)</f>
        <v>0</v>
      </c>
      <c r="B58" s="42" t="str">
        <f>_xlfn.XLOOKUP(RobotDesignResults[[#This Row],[Team Number]],OfficialTeamList[Team Number],OfficialTeamList[Team Name],"",0,)</f>
        <v/>
      </c>
      <c r="C58" s="17"/>
      <c r="D58" s="17"/>
      <c r="E58" s="17"/>
      <c r="F58" s="17"/>
      <c r="G58" s="17"/>
      <c r="H58" s="17"/>
      <c r="I58" s="17"/>
      <c r="J58" s="17"/>
      <c r="K58" s="17"/>
      <c r="L58" s="17"/>
      <c r="M58" s="12">
        <f>SUM(RobotDesignResults[[#This Row],[Identify - Strategy]:[Communicate - Fun (CV)]])</f>
        <v>0</v>
      </c>
      <c r="N58" s="43">
        <f>IF(RobotDesignResults[[#This Row],[Team Number]]&gt;0,MIN(_xlfn.RANK.EQ(RobotDesignResults[[#This Row],[Robot Design Score]],RobotDesignResults[Robot Design Score],0),NumberOfTeams),NumberOfTeams+1)</f>
        <v>1</v>
      </c>
    </row>
    <row r="59" spans="1:14" ht="30" customHeight="1" x14ac:dyDescent="0.45">
      <c r="A59" s="12">
        <f>_xlfn.XLOOKUP(58,OfficialTeamList[Row],OfficialTeamList[Team Number],"ERROR",0)</f>
        <v>0</v>
      </c>
      <c r="B59" s="42" t="str">
        <f>_xlfn.XLOOKUP(RobotDesignResults[[#This Row],[Team Number]],OfficialTeamList[Team Number],OfficialTeamList[Team Name],"",0,)</f>
        <v/>
      </c>
      <c r="C59" s="17"/>
      <c r="D59" s="17"/>
      <c r="E59" s="17"/>
      <c r="F59" s="17"/>
      <c r="G59" s="17"/>
      <c r="H59" s="17"/>
      <c r="I59" s="17"/>
      <c r="J59" s="17"/>
      <c r="K59" s="17"/>
      <c r="L59" s="17"/>
      <c r="M59" s="12">
        <f>SUM(RobotDesignResults[[#This Row],[Identify - Strategy]:[Communicate - Fun (CV)]])</f>
        <v>0</v>
      </c>
      <c r="N59" s="43">
        <f>IF(RobotDesignResults[[#This Row],[Team Number]]&gt;0,MIN(_xlfn.RANK.EQ(RobotDesignResults[[#This Row],[Robot Design Score]],RobotDesignResults[Robot Design Score],0),NumberOfTeams),NumberOfTeams+1)</f>
        <v>1</v>
      </c>
    </row>
    <row r="60" spans="1:14" ht="30" customHeight="1" x14ac:dyDescent="0.45">
      <c r="A60" s="12">
        <f>_xlfn.XLOOKUP(59,OfficialTeamList[Row],OfficialTeamList[Team Number],"ERROR",0)</f>
        <v>0</v>
      </c>
      <c r="B60" s="42" t="str">
        <f>_xlfn.XLOOKUP(RobotDesignResults[[#This Row],[Team Number]],OfficialTeamList[Team Number],OfficialTeamList[Team Name],"",0,)</f>
        <v/>
      </c>
      <c r="C60" s="17"/>
      <c r="D60" s="17"/>
      <c r="E60" s="17"/>
      <c r="F60" s="17"/>
      <c r="G60" s="17"/>
      <c r="H60" s="17"/>
      <c r="I60" s="17"/>
      <c r="J60" s="17"/>
      <c r="K60" s="17"/>
      <c r="L60" s="17"/>
      <c r="M60" s="12">
        <f>SUM(RobotDesignResults[[#This Row],[Identify - Strategy]:[Communicate - Fun (CV)]])</f>
        <v>0</v>
      </c>
      <c r="N60" s="43">
        <f>IF(RobotDesignResults[[#This Row],[Team Number]]&gt;0,MIN(_xlfn.RANK.EQ(RobotDesignResults[[#This Row],[Robot Design Score]],RobotDesignResults[Robot Design Score],0),NumberOfTeams),NumberOfTeams+1)</f>
        <v>1</v>
      </c>
    </row>
    <row r="61" spans="1:14" ht="30" customHeight="1" x14ac:dyDescent="0.45">
      <c r="A61" s="12">
        <f>_xlfn.XLOOKUP(60,OfficialTeamList[Row],OfficialTeamList[Team Number],"ERROR",0)</f>
        <v>0</v>
      </c>
      <c r="B61" s="42" t="str">
        <f>_xlfn.XLOOKUP(RobotDesignResults[[#This Row],[Team Number]],OfficialTeamList[Team Number],OfficialTeamList[Team Name],"",0,)</f>
        <v/>
      </c>
      <c r="C61" s="17"/>
      <c r="D61" s="17"/>
      <c r="E61" s="17"/>
      <c r="F61" s="17"/>
      <c r="G61" s="17"/>
      <c r="H61" s="17"/>
      <c r="I61" s="17"/>
      <c r="J61" s="17"/>
      <c r="K61" s="17"/>
      <c r="L61" s="17"/>
      <c r="M61" s="12">
        <f>SUM(RobotDesignResults[[#This Row],[Identify - Strategy]:[Communicate - Fun (CV)]])</f>
        <v>0</v>
      </c>
      <c r="N61" s="43">
        <f>IF(RobotDesignResults[[#This Row],[Team Number]]&gt;0,MIN(_xlfn.RANK.EQ(RobotDesignResults[[#This Row],[Robot Design Score]],RobotDesignResults[Robot Design Score],0),NumberOfTeams),NumberOfTeams+1)</f>
        <v>1</v>
      </c>
    </row>
    <row r="62" spans="1:14" ht="30" customHeight="1" x14ac:dyDescent="0.45">
      <c r="A62" s="12">
        <f>_xlfn.XLOOKUP(61,OfficialTeamList[Row],OfficialTeamList[Team Number],"ERROR",0)</f>
        <v>0</v>
      </c>
      <c r="B62" s="42" t="str">
        <f>_xlfn.XLOOKUP(RobotDesignResults[[#This Row],[Team Number]],OfficialTeamList[Team Number],OfficialTeamList[Team Name],"",0,)</f>
        <v/>
      </c>
      <c r="C62" s="17"/>
      <c r="D62" s="17"/>
      <c r="E62" s="17"/>
      <c r="F62" s="17"/>
      <c r="G62" s="17"/>
      <c r="H62" s="17"/>
      <c r="I62" s="17"/>
      <c r="J62" s="17"/>
      <c r="K62" s="17"/>
      <c r="L62" s="17"/>
      <c r="M62" s="12">
        <f>SUM(RobotDesignResults[[#This Row],[Identify - Strategy]:[Communicate - Fun (CV)]])</f>
        <v>0</v>
      </c>
      <c r="N62" s="43">
        <f>IF(RobotDesignResults[[#This Row],[Team Number]]&gt;0,MIN(_xlfn.RANK.EQ(RobotDesignResults[[#This Row],[Robot Design Score]],RobotDesignResults[Robot Design Score],0),NumberOfTeams),NumberOfTeams+1)</f>
        <v>1</v>
      </c>
    </row>
    <row r="63" spans="1:14" ht="30" customHeight="1" x14ac:dyDescent="0.45">
      <c r="A63" s="12">
        <f>_xlfn.XLOOKUP(62,OfficialTeamList[Row],OfficialTeamList[Team Number],"ERROR",0)</f>
        <v>0</v>
      </c>
      <c r="B63" s="42" t="str">
        <f>_xlfn.XLOOKUP(RobotDesignResults[[#This Row],[Team Number]],OfficialTeamList[Team Number],OfficialTeamList[Team Name],"",0,)</f>
        <v/>
      </c>
      <c r="C63" s="17"/>
      <c r="D63" s="17"/>
      <c r="E63" s="17"/>
      <c r="F63" s="17"/>
      <c r="G63" s="17"/>
      <c r="H63" s="17"/>
      <c r="I63" s="17"/>
      <c r="J63" s="17"/>
      <c r="K63" s="17"/>
      <c r="L63" s="17"/>
      <c r="M63" s="12">
        <f>SUM(RobotDesignResults[[#This Row],[Identify - Strategy]:[Communicate - Fun (CV)]])</f>
        <v>0</v>
      </c>
      <c r="N63" s="43">
        <f>IF(RobotDesignResults[[#This Row],[Team Number]]&gt;0,MIN(_xlfn.RANK.EQ(RobotDesignResults[[#This Row],[Robot Design Score]],RobotDesignResults[Robot Design Score],0),NumberOfTeams),NumberOfTeams+1)</f>
        <v>1</v>
      </c>
    </row>
    <row r="64" spans="1:14" ht="30" customHeight="1" x14ac:dyDescent="0.45">
      <c r="A64" s="12">
        <f>_xlfn.XLOOKUP(63,OfficialTeamList[Row],OfficialTeamList[Team Number],"ERROR",0)</f>
        <v>0</v>
      </c>
      <c r="B64" s="42" t="str">
        <f>_xlfn.XLOOKUP(RobotDesignResults[[#This Row],[Team Number]],OfficialTeamList[Team Number],OfficialTeamList[Team Name],"",0,)</f>
        <v/>
      </c>
      <c r="C64" s="17"/>
      <c r="D64" s="17"/>
      <c r="E64" s="17"/>
      <c r="F64" s="17"/>
      <c r="G64" s="17"/>
      <c r="H64" s="17"/>
      <c r="I64" s="17"/>
      <c r="J64" s="17"/>
      <c r="K64" s="17"/>
      <c r="L64" s="17"/>
      <c r="M64" s="12">
        <f>SUM(RobotDesignResults[[#This Row],[Identify - Strategy]:[Communicate - Fun (CV)]])</f>
        <v>0</v>
      </c>
      <c r="N64" s="43">
        <f>IF(RobotDesignResults[[#This Row],[Team Number]]&gt;0,MIN(_xlfn.RANK.EQ(RobotDesignResults[[#This Row],[Robot Design Score]],RobotDesignResults[Robot Design Score],0),NumberOfTeams),NumberOfTeams+1)</f>
        <v>1</v>
      </c>
    </row>
    <row r="65" spans="1:14" ht="30" customHeight="1" x14ac:dyDescent="0.45">
      <c r="A65" s="12">
        <f>_xlfn.XLOOKUP(64,OfficialTeamList[Row],OfficialTeamList[Team Number],"ERROR",0)</f>
        <v>0</v>
      </c>
      <c r="B65" s="42" t="str">
        <f>_xlfn.XLOOKUP(RobotDesignResults[[#This Row],[Team Number]],OfficialTeamList[Team Number],OfficialTeamList[Team Name],"",0,)</f>
        <v/>
      </c>
      <c r="C65" s="17"/>
      <c r="D65" s="17"/>
      <c r="E65" s="17"/>
      <c r="F65" s="17"/>
      <c r="G65" s="17"/>
      <c r="H65" s="17"/>
      <c r="I65" s="17"/>
      <c r="J65" s="17"/>
      <c r="K65" s="17"/>
      <c r="L65" s="17"/>
      <c r="M65" s="12">
        <f>SUM(RobotDesignResults[[#This Row],[Identify - Strategy]:[Communicate - Fun (CV)]])</f>
        <v>0</v>
      </c>
      <c r="N65" s="43">
        <f>IF(RobotDesignResults[[#This Row],[Team Number]]&gt;0,MIN(_xlfn.RANK.EQ(RobotDesignResults[[#This Row],[Robot Design Score]],RobotDesignResults[Robot Design Score],0),NumberOfTeams),NumberOfTeams+1)</f>
        <v>1</v>
      </c>
    </row>
    <row r="66" spans="1:14" ht="30" customHeight="1" x14ac:dyDescent="0.45">
      <c r="A66" s="12">
        <f>_xlfn.XLOOKUP(65,OfficialTeamList[Row],OfficialTeamList[Team Number],"ERROR",0)</f>
        <v>0</v>
      </c>
      <c r="B66" s="42" t="str">
        <f>_xlfn.XLOOKUP(RobotDesignResults[[#This Row],[Team Number]],OfficialTeamList[Team Number],OfficialTeamList[Team Name],"",0,)</f>
        <v/>
      </c>
      <c r="C66" s="17"/>
      <c r="D66" s="17"/>
      <c r="E66" s="17"/>
      <c r="F66" s="17"/>
      <c r="G66" s="17"/>
      <c r="H66" s="17"/>
      <c r="I66" s="17"/>
      <c r="J66" s="17"/>
      <c r="K66" s="17"/>
      <c r="L66" s="17"/>
      <c r="M66" s="12">
        <f>SUM(RobotDesignResults[[#This Row],[Identify - Strategy]:[Communicate - Fun (CV)]])</f>
        <v>0</v>
      </c>
      <c r="N66" s="43">
        <f>IF(RobotDesignResults[[#This Row],[Team Number]]&gt;0,MIN(_xlfn.RANK.EQ(RobotDesignResults[[#This Row],[Robot Design Score]],RobotDesignResults[Robot Design Score],0),NumberOfTeams),NumberOfTeams+1)</f>
        <v>1</v>
      </c>
    </row>
    <row r="67" spans="1:14" ht="30" customHeight="1" x14ac:dyDescent="0.45">
      <c r="A67" s="12">
        <f>_xlfn.XLOOKUP(66,OfficialTeamList[Row],OfficialTeamList[Team Number],"ERROR",0)</f>
        <v>0</v>
      </c>
      <c r="B67" s="42" t="str">
        <f>_xlfn.XLOOKUP(RobotDesignResults[[#This Row],[Team Number]],OfficialTeamList[Team Number],OfficialTeamList[Team Name],"",0,)</f>
        <v/>
      </c>
      <c r="C67" s="17"/>
      <c r="D67" s="17"/>
      <c r="E67" s="17"/>
      <c r="F67" s="17"/>
      <c r="G67" s="17"/>
      <c r="H67" s="17"/>
      <c r="I67" s="17"/>
      <c r="J67" s="17"/>
      <c r="K67" s="17"/>
      <c r="L67" s="17"/>
      <c r="M67" s="12">
        <f>SUM(RobotDesignResults[[#This Row],[Identify - Strategy]:[Communicate - Fun (CV)]])</f>
        <v>0</v>
      </c>
      <c r="N67" s="43">
        <f>IF(RobotDesignResults[[#This Row],[Team Number]]&gt;0,MIN(_xlfn.RANK.EQ(RobotDesignResults[[#This Row],[Robot Design Score]],RobotDesignResults[Robot Design Score],0),NumberOfTeams),NumberOfTeams+1)</f>
        <v>1</v>
      </c>
    </row>
    <row r="68" spans="1:14" ht="30" customHeight="1" x14ac:dyDescent="0.45">
      <c r="A68" s="12">
        <f>_xlfn.XLOOKUP(67,OfficialTeamList[Row],OfficialTeamList[Team Number],"ERROR",0)</f>
        <v>0</v>
      </c>
      <c r="B68" s="42" t="str">
        <f>_xlfn.XLOOKUP(RobotDesignResults[[#This Row],[Team Number]],OfficialTeamList[Team Number],OfficialTeamList[Team Name],"",0,)</f>
        <v/>
      </c>
      <c r="C68" s="17"/>
      <c r="D68" s="17"/>
      <c r="E68" s="17"/>
      <c r="F68" s="17"/>
      <c r="G68" s="17"/>
      <c r="H68" s="17"/>
      <c r="I68" s="17"/>
      <c r="J68" s="17"/>
      <c r="K68" s="17"/>
      <c r="L68" s="17"/>
      <c r="M68" s="12">
        <f>SUM(RobotDesignResults[[#This Row],[Identify - Strategy]:[Communicate - Fun (CV)]])</f>
        <v>0</v>
      </c>
      <c r="N68" s="43">
        <f>IF(RobotDesignResults[[#This Row],[Team Number]]&gt;0,MIN(_xlfn.RANK.EQ(RobotDesignResults[[#This Row],[Robot Design Score]],RobotDesignResults[Robot Design Score],0),NumberOfTeams),NumberOfTeams+1)</f>
        <v>1</v>
      </c>
    </row>
    <row r="69" spans="1:14" ht="30" customHeight="1" x14ac:dyDescent="0.45">
      <c r="A69" s="12">
        <f>_xlfn.XLOOKUP(68,OfficialTeamList[Row],OfficialTeamList[Team Number],"ERROR",0)</f>
        <v>0</v>
      </c>
      <c r="B69" s="42" t="str">
        <f>_xlfn.XLOOKUP(RobotDesignResults[[#This Row],[Team Number]],OfficialTeamList[Team Number],OfficialTeamList[Team Name],"",0,)</f>
        <v/>
      </c>
      <c r="C69" s="17"/>
      <c r="D69" s="17"/>
      <c r="E69" s="17"/>
      <c r="F69" s="17"/>
      <c r="G69" s="17"/>
      <c r="H69" s="17"/>
      <c r="I69" s="17"/>
      <c r="J69" s="17"/>
      <c r="K69" s="17"/>
      <c r="L69" s="17"/>
      <c r="M69" s="12">
        <f>SUM(RobotDesignResults[[#This Row],[Identify - Strategy]:[Communicate - Fun (CV)]])</f>
        <v>0</v>
      </c>
      <c r="N69" s="43">
        <f>IF(RobotDesignResults[[#This Row],[Team Number]]&gt;0,MIN(_xlfn.RANK.EQ(RobotDesignResults[[#This Row],[Robot Design Score]],RobotDesignResults[Robot Design Score],0),NumberOfTeams),NumberOfTeams+1)</f>
        <v>1</v>
      </c>
    </row>
    <row r="70" spans="1:14" ht="30" customHeight="1" x14ac:dyDescent="0.45">
      <c r="A70" s="12">
        <f>_xlfn.XLOOKUP(69,OfficialTeamList[Row],OfficialTeamList[Team Number],"ERROR",0)</f>
        <v>0</v>
      </c>
      <c r="B70" s="42" t="str">
        <f>_xlfn.XLOOKUP(RobotDesignResults[[#This Row],[Team Number]],OfficialTeamList[Team Number],OfficialTeamList[Team Name],"",0,)</f>
        <v/>
      </c>
      <c r="C70" s="17"/>
      <c r="D70" s="17"/>
      <c r="E70" s="17"/>
      <c r="F70" s="17"/>
      <c r="G70" s="17"/>
      <c r="H70" s="17"/>
      <c r="I70" s="17"/>
      <c r="J70" s="17"/>
      <c r="K70" s="17"/>
      <c r="L70" s="17"/>
      <c r="M70" s="12">
        <f>SUM(RobotDesignResults[[#This Row],[Identify - Strategy]:[Communicate - Fun (CV)]])</f>
        <v>0</v>
      </c>
      <c r="N70" s="43">
        <f>IF(RobotDesignResults[[#This Row],[Team Number]]&gt;0,MIN(_xlfn.RANK.EQ(RobotDesignResults[[#This Row],[Robot Design Score]],RobotDesignResults[Robot Design Score],0),NumberOfTeams),NumberOfTeams+1)</f>
        <v>1</v>
      </c>
    </row>
    <row r="71" spans="1:14" ht="30" customHeight="1" x14ac:dyDescent="0.45">
      <c r="A71" s="12">
        <f>_xlfn.XLOOKUP(70,OfficialTeamList[Row],OfficialTeamList[Team Number],"ERROR",0)</f>
        <v>0</v>
      </c>
      <c r="B71" s="42" t="str">
        <f>_xlfn.XLOOKUP(RobotDesignResults[[#This Row],[Team Number]],OfficialTeamList[Team Number],OfficialTeamList[Team Name],"",0,)</f>
        <v/>
      </c>
      <c r="C71" s="17"/>
      <c r="D71" s="17"/>
      <c r="E71" s="17"/>
      <c r="F71" s="17"/>
      <c r="G71" s="17"/>
      <c r="H71" s="17"/>
      <c r="I71" s="17"/>
      <c r="J71" s="17"/>
      <c r="K71" s="17"/>
      <c r="L71" s="17"/>
      <c r="M71" s="12">
        <f>SUM(RobotDesignResults[[#This Row],[Identify - Strategy]:[Communicate - Fun (CV)]])</f>
        <v>0</v>
      </c>
      <c r="N71" s="43">
        <f>IF(RobotDesignResults[[#This Row],[Team Number]]&gt;0,MIN(_xlfn.RANK.EQ(RobotDesignResults[[#This Row],[Robot Design Score]],RobotDesignResults[Robot Design Score],0),NumberOfTeams),NumberOfTeams+1)</f>
        <v>1</v>
      </c>
    </row>
    <row r="72" spans="1:14" ht="30" customHeight="1" x14ac:dyDescent="0.45">
      <c r="A72" s="12">
        <f>_xlfn.XLOOKUP(71,OfficialTeamList[Row],OfficialTeamList[Team Number],"ERROR",0)</f>
        <v>0</v>
      </c>
      <c r="B72" s="42" t="str">
        <f>_xlfn.XLOOKUP(RobotDesignResults[[#This Row],[Team Number]],OfficialTeamList[Team Number],OfficialTeamList[Team Name],"",0,)</f>
        <v/>
      </c>
      <c r="C72" s="17"/>
      <c r="D72" s="17"/>
      <c r="E72" s="17"/>
      <c r="F72" s="17"/>
      <c r="G72" s="17"/>
      <c r="H72" s="17"/>
      <c r="I72" s="17"/>
      <c r="J72" s="17"/>
      <c r="K72" s="17"/>
      <c r="L72" s="17"/>
      <c r="M72" s="12">
        <f>SUM(RobotDesignResults[[#This Row],[Identify - Strategy]:[Communicate - Fun (CV)]])</f>
        <v>0</v>
      </c>
      <c r="N72" s="43">
        <f>IF(RobotDesignResults[[#This Row],[Team Number]]&gt;0,MIN(_xlfn.RANK.EQ(RobotDesignResults[[#This Row],[Robot Design Score]],RobotDesignResults[Robot Design Score],0),NumberOfTeams),NumberOfTeams+1)</f>
        <v>1</v>
      </c>
    </row>
    <row r="73" spans="1:14" ht="30" customHeight="1" x14ac:dyDescent="0.45">
      <c r="A73" s="12">
        <f>_xlfn.XLOOKUP(72,OfficialTeamList[Row],OfficialTeamList[Team Number],"ERROR",0)</f>
        <v>0</v>
      </c>
      <c r="B73" s="42" t="str">
        <f>_xlfn.XLOOKUP(RobotDesignResults[[#This Row],[Team Number]],OfficialTeamList[Team Number],OfficialTeamList[Team Name],"",0,)</f>
        <v/>
      </c>
      <c r="C73" s="17"/>
      <c r="D73" s="17"/>
      <c r="E73" s="17"/>
      <c r="F73" s="17"/>
      <c r="G73" s="17"/>
      <c r="H73" s="17"/>
      <c r="I73" s="17"/>
      <c r="J73" s="17"/>
      <c r="K73" s="17"/>
      <c r="L73" s="17"/>
      <c r="M73" s="12">
        <f>SUM(RobotDesignResults[[#This Row],[Identify - Strategy]:[Communicate - Fun (CV)]])</f>
        <v>0</v>
      </c>
      <c r="N73" s="43">
        <f>IF(RobotDesignResults[[#This Row],[Team Number]]&gt;0,MIN(_xlfn.RANK.EQ(RobotDesignResults[[#This Row],[Robot Design Score]],RobotDesignResults[Robot Design Score],0),NumberOfTeams),NumberOfTeams+1)</f>
        <v>1</v>
      </c>
    </row>
    <row r="74" spans="1:14" ht="30" customHeight="1" x14ac:dyDescent="0.45">
      <c r="A74" s="12">
        <f>_xlfn.XLOOKUP(73,OfficialTeamList[Row],OfficialTeamList[Team Number],"ERROR",0)</f>
        <v>0</v>
      </c>
      <c r="B74" s="42" t="str">
        <f>_xlfn.XLOOKUP(RobotDesignResults[[#This Row],[Team Number]],OfficialTeamList[Team Number],OfficialTeamList[Team Name],"",0,)</f>
        <v/>
      </c>
      <c r="C74" s="17"/>
      <c r="D74" s="17"/>
      <c r="E74" s="17"/>
      <c r="F74" s="17"/>
      <c r="G74" s="17"/>
      <c r="H74" s="17"/>
      <c r="I74" s="17"/>
      <c r="J74" s="17"/>
      <c r="K74" s="17"/>
      <c r="L74" s="17"/>
      <c r="M74" s="12">
        <f>SUM(RobotDesignResults[[#This Row],[Identify - Strategy]:[Communicate - Fun (CV)]])</f>
        <v>0</v>
      </c>
      <c r="N74" s="43">
        <f>IF(RobotDesignResults[[#This Row],[Team Number]]&gt;0,MIN(_xlfn.RANK.EQ(RobotDesignResults[[#This Row],[Robot Design Score]],RobotDesignResults[Robot Design Score],0),NumberOfTeams),NumberOfTeams+1)</f>
        <v>1</v>
      </c>
    </row>
    <row r="75" spans="1:14" ht="30" customHeight="1" x14ac:dyDescent="0.45">
      <c r="A75" s="12">
        <f>_xlfn.XLOOKUP(74,OfficialTeamList[Row],OfficialTeamList[Team Number],"ERROR",0)</f>
        <v>0</v>
      </c>
      <c r="B75" s="42" t="str">
        <f>_xlfn.XLOOKUP(RobotDesignResults[[#This Row],[Team Number]],OfficialTeamList[Team Number],OfficialTeamList[Team Name],"",0,)</f>
        <v/>
      </c>
      <c r="C75" s="17"/>
      <c r="D75" s="17"/>
      <c r="E75" s="17"/>
      <c r="F75" s="17"/>
      <c r="G75" s="17"/>
      <c r="H75" s="17"/>
      <c r="I75" s="17"/>
      <c r="J75" s="17"/>
      <c r="K75" s="17"/>
      <c r="L75" s="17"/>
      <c r="M75" s="12">
        <f>SUM(RobotDesignResults[[#This Row],[Identify - Strategy]:[Communicate - Fun (CV)]])</f>
        <v>0</v>
      </c>
      <c r="N75" s="43">
        <f>IF(RobotDesignResults[[#This Row],[Team Number]]&gt;0,MIN(_xlfn.RANK.EQ(RobotDesignResults[[#This Row],[Robot Design Score]],RobotDesignResults[Robot Design Score],0),NumberOfTeams),NumberOfTeams+1)</f>
        <v>1</v>
      </c>
    </row>
    <row r="76" spans="1:14" ht="30" customHeight="1" x14ac:dyDescent="0.45">
      <c r="A76" s="12">
        <f>_xlfn.XLOOKUP(75,OfficialTeamList[Row],OfficialTeamList[Team Number],"ERROR",0)</f>
        <v>0</v>
      </c>
      <c r="B76" s="42" t="str">
        <f>_xlfn.XLOOKUP(RobotDesignResults[[#This Row],[Team Number]],OfficialTeamList[Team Number],OfficialTeamList[Team Name],"",0,)</f>
        <v/>
      </c>
      <c r="C76" s="17"/>
      <c r="D76" s="17"/>
      <c r="E76" s="17"/>
      <c r="F76" s="17"/>
      <c r="G76" s="17"/>
      <c r="H76" s="17"/>
      <c r="I76" s="17"/>
      <c r="J76" s="17"/>
      <c r="K76" s="17"/>
      <c r="L76" s="17"/>
      <c r="M76" s="12">
        <f>SUM(RobotDesignResults[[#This Row],[Identify - Strategy]:[Communicate - Fun (CV)]])</f>
        <v>0</v>
      </c>
      <c r="N76" s="43">
        <f>IF(RobotDesignResults[[#This Row],[Team Number]]&gt;0,MIN(_xlfn.RANK.EQ(RobotDesignResults[[#This Row],[Robot Design Score]],RobotDesignResults[Robot Design Score],0),NumberOfTeams),NumberOfTeams+1)</f>
        <v>1</v>
      </c>
    </row>
    <row r="77" spans="1:14" ht="30" customHeight="1" x14ac:dyDescent="0.45">
      <c r="A77" s="12">
        <f>_xlfn.XLOOKUP(76,OfficialTeamList[Row],OfficialTeamList[Team Number],"ERROR",0)</f>
        <v>0</v>
      </c>
      <c r="B77" s="42" t="str">
        <f>_xlfn.XLOOKUP(RobotDesignResults[[#This Row],[Team Number]],OfficialTeamList[Team Number],OfficialTeamList[Team Name],"",0,)</f>
        <v/>
      </c>
      <c r="C77" s="17"/>
      <c r="D77" s="17"/>
      <c r="E77" s="17"/>
      <c r="F77" s="17"/>
      <c r="G77" s="17"/>
      <c r="H77" s="17"/>
      <c r="I77" s="17"/>
      <c r="J77" s="17"/>
      <c r="K77" s="17"/>
      <c r="L77" s="17"/>
      <c r="M77" s="12">
        <f>SUM(RobotDesignResults[[#This Row],[Identify - Strategy]:[Communicate - Fun (CV)]])</f>
        <v>0</v>
      </c>
      <c r="N77" s="43">
        <f>IF(RobotDesignResults[[#This Row],[Team Number]]&gt;0,MIN(_xlfn.RANK.EQ(RobotDesignResults[[#This Row],[Robot Design Score]],RobotDesignResults[Robot Design Score],0),NumberOfTeams),NumberOfTeams+1)</f>
        <v>1</v>
      </c>
    </row>
    <row r="78" spans="1:14" ht="30" customHeight="1" x14ac:dyDescent="0.45">
      <c r="A78" s="12">
        <f>_xlfn.XLOOKUP(77,OfficialTeamList[Row],OfficialTeamList[Team Number],"ERROR",0)</f>
        <v>0</v>
      </c>
      <c r="B78" s="42" t="str">
        <f>_xlfn.XLOOKUP(RobotDesignResults[[#This Row],[Team Number]],OfficialTeamList[Team Number],OfficialTeamList[Team Name],"",0,)</f>
        <v/>
      </c>
      <c r="C78" s="17"/>
      <c r="D78" s="17"/>
      <c r="E78" s="17"/>
      <c r="F78" s="17"/>
      <c r="G78" s="17"/>
      <c r="H78" s="17"/>
      <c r="I78" s="17"/>
      <c r="J78" s="17"/>
      <c r="K78" s="17"/>
      <c r="L78" s="17"/>
      <c r="M78" s="12">
        <f>SUM(RobotDesignResults[[#This Row],[Identify - Strategy]:[Communicate - Fun (CV)]])</f>
        <v>0</v>
      </c>
      <c r="N78" s="43">
        <f>IF(RobotDesignResults[[#This Row],[Team Number]]&gt;0,MIN(_xlfn.RANK.EQ(RobotDesignResults[[#This Row],[Robot Design Score]],RobotDesignResults[Robot Design Score],0),NumberOfTeams),NumberOfTeams+1)</f>
        <v>1</v>
      </c>
    </row>
    <row r="79" spans="1:14" ht="30" customHeight="1" x14ac:dyDescent="0.45">
      <c r="A79" s="12">
        <f>_xlfn.XLOOKUP(78,OfficialTeamList[Row],OfficialTeamList[Team Number],"ERROR",0)</f>
        <v>0</v>
      </c>
      <c r="B79" s="42" t="str">
        <f>_xlfn.XLOOKUP(RobotDesignResults[[#This Row],[Team Number]],OfficialTeamList[Team Number],OfficialTeamList[Team Name],"",0,)</f>
        <v/>
      </c>
      <c r="C79" s="17"/>
      <c r="D79" s="17"/>
      <c r="E79" s="17"/>
      <c r="F79" s="17"/>
      <c r="G79" s="17"/>
      <c r="H79" s="17"/>
      <c r="I79" s="17"/>
      <c r="J79" s="17"/>
      <c r="K79" s="17"/>
      <c r="L79" s="17"/>
      <c r="M79" s="12">
        <f>SUM(RobotDesignResults[[#This Row],[Identify - Strategy]:[Communicate - Fun (CV)]])</f>
        <v>0</v>
      </c>
      <c r="N79" s="43">
        <f>IF(RobotDesignResults[[#This Row],[Team Number]]&gt;0,MIN(_xlfn.RANK.EQ(RobotDesignResults[[#This Row],[Robot Design Score]],RobotDesignResults[Robot Design Score],0),NumberOfTeams),NumberOfTeams+1)</f>
        <v>1</v>
      </c>
    </row>
    <row r="80" spans="1:14" ht="30" customHeight="1" x14ac:dyDescent="0.45">
      <c r="A80" s="12">
        <f>_xlfn.XLOOKUP(79,OfficialTeamList[Row],OfficialTeamList[Team Number],"ERROR",0)</f>
        <v>0</v>
      </c>
      <c r="B80" s="42" t="str">
        <f>_xlfn.XLOOKUP(RobotDesignResults[[#This Row],[Team Number]],OfficialTeamList[Team Number],OfficialTeamList[Team Name],"",0,)</f>
        <v/>
      </c>
      <c r="C80" s="17"/>
      <c r="D80" s="17"/>
      <c r="E80" s="17"/>
      <c r="F80" s="17"/>
      <c r="G80" s="17"/>
      <c r="H80" s="17"/>
      <c r="I80" s="17"/>
      <c r="J80" s="17"/>
      <c r="K80" s="17"/>
      <c r="L80" s="17"/>
      <c r="M80" s="12">
        <f>SUM(RobotDesignResults[[#This Row],[Identify - Strategy]:[Communicate - Fun (CV)]])</f>
        <v>0</v>
      </c>
      <c r="N80" s="43">
        <f>IF(RobotDesignResults[[#This Row],[Team Number]]&gt;0,MIN(_xlfn.RANK.EQ(RobotDesignResults[[#This Row],[Robot Design Score]],RobotDesignResults[Robot Design Score],0),NumberOfTeams),NumberOfTeams+1)</f>
        <v>1</v>
      </c>
    </row>
    <row r="81" spans="1:14" ht="30" customHeight="1" x14ac:dyDescent="0.45">
      <c r="A81" s="12">
        <f>_xlfn.XLOOKUP(80,OfficialTeamList[Row],OfficialTeamList[Team Number],"ERROR",0)</f>
        <v>0</v>
      </c>
      <c r="B81" s="42" t="str">
        <f>_xlfn.XLOOKUP(RobotDesignResults[[#This Row],[Team Number]],OfficialTeamList[Team Number],OfficialTeamList[Team Name],"",0,)</f>
        <v/>
      </c>
      <c r="C81" s="17"/>
      <c r="D81" s="17"/>
      <c r="E81" s="17"/>
      <c r="F81" s="17"/>
      <c r="G81" s="17"/>
      <c r="H81" s="17"/>
      <c r="I81" s="17"/>
      <c r="J81" s="17"/>
      <c r="K81" s="17"/>
      <c r="L81" s="17"/>
      <c r="M81" s="12">
        <f>SUM(RobotDesignResults[[#This Row],[Identify - Strategy]:[Communicate - Fun (CV)]])</f>
        <v>0</v>
      </c>
      <c r="N81" s="43">
        <f>IF(RobotDesignResults[[#This Row],[Team Number]]&gt;0,MIN(_xlfn.RANK.EQ(RobotDesignResults[[#This Row],[Robot Design Score]],RobotDesignResults[Robot Design Score],0),NumberOfTeams),NumberOfTeams+1)</f>
        <v>1</v>
      </c>
    </row>
    <row r="82" spans="1:14" ht="30" customHeight="1" x14ac:dyDescent="0.45">
      <c r="A82" s="12">
        <f>_xlfn.XLOOKUP(81,OfficialTeamList[Row],OfficialTeamList[Team Number],"ERROR",0)</f>
        <v>0</v>
      </c>
      <c r="B82" s="42" t="str">
        <f>_xlfn.XLOOKUP(RobotDesignResults[[#This Row],[Team Number]],OfficialTeamList[Team Number],OfficialTeamList[Team Name],"",0,)</f>
        <v/>
      </c>
      <c r="C82" s="17"/>
      <c r="D82" s="17"/>
      <c r="E82" s="17"/>
      <c r="F82" s="17"/>
      <c r="G82" s="17"/>
      <c r="H82" s="17"/>
      <c r="I82" s="17"/>
      <c r="J82" s="17"/>
      <c r="K82" s="17"/>
      <c r="L82" s="17"/>
      <c r="M82" s="12">
        <f>SUM(RobotDesignResults[[#This Row],[Identify - Strategy]:[Communicate - Fun (CV)]])</f>
        <v>0</v>
      </c>
      <c r="N82" s="43">
        <f>IF(RobotDesignResults[[#This Row],[Team Number]]&gt;0,MIN(_xlfn.RANK.EQ(RobotDesignResults[[#This Row],[Robot Design Score]],RobotDesignResults[Robot Design Score],0),NumberOfTeams),NumberOfTeams+1)</f>
        <v>1</v>
      </c>
    </row>
    <row r="83" spans="1:14" ht="30" customHeight="1" x14ac:dyDescent="0.45">
      <c r="A83" s="12">
        <f>_xlfn.XLOOKUP(82,OfficialTeamList[Row],OfficialTeamList[Team Number],"ERROR",0)</f>
        <v>0</v>
      </c>
      <c r="B83" s="42" t="str">
        <f>_xlfn.XLOOKUP(RobotDesignResults[[#This Row],[Team Number]],OfficialTeamList[Team Number],OfficialTeamList[Team Name],"",0,)</f>
        <v/>
      </c>
      <c r="C83" s="17"/>
      <c r="D83" s="17"/>
      <c r="E83" s="17"/>
      <c r="F83" s="17"/>
      <c r="G83" s="17"/>
      <c r="H83" s="17"/>
      <c r="I83" s="17"/>
      <c r="J83" s="17"/>
      <c r="K83" s="17"/>
      <c r="L83" s="17"/>
      <c r="M83" s="12">
        <f>SUM(RobotDesignResults[[#This Row],[Identify - Strategy]:[Communicate - Fun (CV)]])</f>
        <v>0</v>
      </c>
      <c r="N83" s="43">
        <f>IF(RobotDesignResults[[#This Row],[Team Number]]&gt;0,MIN(_xlfn.RANK.EQ(RobotDesignResults[[#This Row],[Robot Design Score]],RobotDesignResults[Robot Design Score],0),NumberOfTeams),NumberOfTeams+1)</f>
        <v>1</v>
      </c>
    </row>
    <row r="84" spans="1:14" ht="30" customHeight="1" x14ac:dyDescent="0.45">
      <c r="A84" s="12">
        <f>_xlfn.XLOOKUP(83,OfficialTeamList[Row],OfficialTeamList[Team Number],"ERROR",0)</f>
        <v>0</v>
      </c>
      <c r="B84" s="42" t="str">
        <f>_xlfn.XLOOKUP(RobotDesignResults[[#This Row],[Team Number]],OfficialTeamList[Team Number],OfficialTeamList[Team Name],"",0,)</f>
        <v/>
      </c>
      <c r="C84" s="17"/>
      <c r="D84" s="17"/>
      <c r="E84" s="17"/>
      <c r="F84" s="17"/>
      <c r="G84" s="17"/>
      <c r="H84" s="17"/>
      <c r="I84" s="17"/>
      <c r="J84" s="17"/>
      <c r="K84" s="17"/>
      <c r="L84" s="17"/>
      <c r="M84" s="12">
        <f>SUM(RobotDesignResults[[#This Row],[Identify - Strategy]:[Communicate - Fun (CV)]])</f>
        <v>0</v>
      </c>
      <c r="N84" s="43">
        <f>IF(RobotDesignResults[[#This Row],[Team Number]]&gt;0,MIN(_xlfn.RANK.EQ(RobotDesignResults[[#This Row],[Robot Design Score]],RobotDesignResults[Robot Design Score],0),NumberOfTeams),NumberOfTeams+1)</f>
        <v>1</v>
      </c>
    </row>
    <row r="85" spans="1:14" ht="30" customHeight="1" x14ac:dyDescent="0.45">
      <c r="A85" s="12">
        <f>_xlfn.XLOOKUP(84,OfficialTeamList[Row],OfficialTeamList[Team Number],"ERROR",0)</f>
        <v>0</v>
      </c>
      <c r="B85" s="42" t="str">
        <f>_xlfn.XLOOKUP(RobotDesignResults[[#This Row],[Team Number]],OfficialTeamList[Team Number],OfficialTeamList[Team Name],"",0,)</f>
        <v/>
      </c>
      <c r="C85" s="17"/>
      <c r="D85" s="17"/>
      <c r="E85" s="17"/>
      <c r="F85" s="17"/>
      <c r="G85" s="17"/>
      <c r="H85" s="17"/>
      <c r="I85" s="17"/>
      <c r="J85" s="17"/>
      <c r="K85" s="17"/>
      <c r="L85" s="17"/>
      <c r="M85" s="12">
        <f>SUM(RobotDesignResults[[#This Row],[Identify - Strategy]:[Communicate - Fun (CV)]])</f>
        <v>0</v>
      </c>
      <c r="N85" s="43">
        <f>IF(RobotDesignResults[[#This Row],[Team Number]]&gt;0,MIN(_xlfn.RANK.EQ(RobotDesignResults[[#This Row],[Robot Design Score]],RobotDesignResults[Robot Design Score],0),NumberOfTeams),NumberOfTeams+1)</f>
        <v>1</v>
      </c>
    </row>
    <row r="86" spans="1:14" ht="30" customHeight="1" x14ac:dyDescent="0.45">
      <c r="A86" s="12">
        <f>_xlfn.XLOOKUP(85,OfficialTeamList[Row],OfficialTeamList[Team Number],"ERROR",0)</f>
        <v>0</v>
      </c>
      <c r="B86" s="42" t="str">
        <f>_xlfn.XLOOKUP(RobotDesignResults[[#This Row],[Team Number]],OfficialTeamList[Team Number],OfficialTeamList[Team Name],"",0,)</f>
        <v/>
      </c>
      <c r="C86" s="17"/>
      <c r="D86" s="17"/>
      <c r="E86" s="17"/>
      <c r="F86" s="17"/>
      <c r="G86" s="17"/>
      <c r="H86" s="17"/>
      <c r="I86" s="17"/>
      <c r="J86" s="17"/>
      <c r="K86" s="17"/>
      <c r="L86" s="17"/>
      <c r="M86" s="12">
        <f>SUM(RobotDesignResults[[#This Row],[Identify - Strategy]:[Communicate - Fun (CV)]])</f>
        <v>0</v>
      </c>
      <c r="N86" s="43">
        <f>IF(RobotDesignResults[[#This Row],[Team Number]]&gt;0,MIN(_xlfn.RANK.EQ(RobotDesignResults[[#This Row],[Robot Design Score]],RobotDesignResults[Robot Design Score],0),NumberOfTeams),NumberOfTeams+1)</f>
        <v>1</v>
      </c>
    </row>
    <row r="87" spans="1:14" ht="30" customHeight="1" x14ac:dyDescent="0.45">
      <c r="A87" s="12">
        <f>_xlfn.XLOOKUP(86,OfficialTeamList[Row],OfficialTeamList[Team Number],"ERROR",0)</f>
        <v>0</v>
      </c>
      <c r="B87" s="42" t="str">
        <f>_xlfn.XLOOKUP(RobotDesignResults[[#This Row],[Team Number]],OfficialTeamList[Team Number],OfficialTeamList[Team Name],"",0,)</f>
        <v/>
      </c>
      <c r="C87" s="17"/>
      <c r="D87" s="17"/>
      <c r="E87" s="17"/>
      <c r="F87" s="17"/>
      <c r="G87" s="17"/>
      <c r="H87" s="17"/>
      <c r="I87" s="17"/>
      <c r="J87" s="17"/>
      <c r="K87" s="17"/>
      <c r="L87" s="17"/>
      <c r="M87" s="12">
        <f>SUM(RobotDesignResults[[#This Row],[Identify - Strategy]:[Communicate - Fun (CV)]])</f>
        <v>0</v>
      </c>
      <c r="N87" s="43">
        <f>IF(RobotDesignResults[[#This Row],[Team Number]]&gt;0,MIN(_xlfn.RANK.EQ(RobotDesignResults[[#This Row],[Robot Design Score]],RobotDesignResults[Robot Design Score],0),NumberOfTeams),NumberOfTeams+1)</f>
        <v>1</v>
      </c>
    </row>
    <row r="88" spans="1:14" ht="30" customHeight="1" x14ac:dyDescent="0.45">
      <c r="A88" s="12">
        <f>_xlfn.XLOOKUP(87,OfficialTeamList[Row],OfficialTeamList[Team Number],"ERROR",0)</f>
        <v>0</v>
      </c>
      <c r="B88" s="42" t="str">
        <f>_xlfn.XLOOKUP(RobotDesignResults[[#This Row],[Team Number]],OfficialTeamList[Team Number],OfficialTeamList[Team Name],"",0,)</f>
        <v/>
      </c>
      <c r="C88" s="17"/>
      <c r="D88" s="17"/>
      <c r="E88" s="17"/>
      <c r="F88" s="17"/>
      <c r="G88" s="17"/>
      <c r="H88" s="17"/>
      <c r="I88" s="17"/>
      <c r="J88" s="17"/>
      <c r="K88" s="17"/>
      <c r="L88" s="17"/>
      <c r="M88" s="12">
        <f>SUM(RobotDesignResults[[#This Row],[Identify - Strategy]:[Communicate - Fun (CV)]])</f>
        <v>0</v>
      </c>
      <c r="N88" s="43">
        <f>IF(RobotDesignResults[[#This Row],[Team Number]]&gt;0,MIN(_xlfn.RANK.EQ(RobotDesignResults[[#This Row],[Robot Design Score]],RobotDesignResults[Robot Design Score],0),NumberOfTeams),NumberOfTeams+1)</f>
        <v>1</v>
      </c>
    </row>
    <row r="89" spans="1:14" ht="30" customHeight="1" x14ac:dyDescent="0.45">
      <c r="A89" s="12">
        <f>_xlfn.XLOOKUP(88,OfficialTeamList[Row],OfficialTeamList[Team Number],"ERROR",0)</f>
        <v>0</v>
      </c>
      <c r="B89" s="42" t="str">
        <f>_xlfn.XLOOKUP(RobotDesignResults[[#This Row],[Team Number]],OfficialTeamList[Team Number],OfficialTeamList[Team Name],"",0,)</f>
        <v/>
      </c>
      <c r="C89" s="17"/>
      <c r="D89" s="17"/>
      <c r="E89" s="17"/>
      <c r="F89" s="17"/>
      <c r="G89" s="17"/>
      <c r="H89" s="17"/>
      <c r="I89" s="17"/>
      <c r="J89" s="17"/>
      <c r="K89" s="17"/>
      <c r="L89" s="17"/>
      <c r="M89" s="12">
        <f>SUM(RobotDesignResults[[#This Row],[Identify - Strategy]:[Communicate - Fun (CV)]])</f>
        <v>0</v>
      </c>
      <c r="N89" s="43">
        <f>IF(RobotDesignResults[[#This Row],[Team Number]]&gt;0,MIN(_xlfn.RANK.EQ(RobotDesignResults[[#This Row],[Robot Design Score]],RobotDesignResults[Robot Design Score],0),NumberOfTeams),NumberOfTeams+1)</f>
        <v>1</v>
      </c>
    </row>
    <row r="90" spans="1:14" ht="30" customHeight="1" x14ac:dyDescent="0.45">
      <c r="A90" s="12">
        <f>_xlfn.XLOOKUP(89,OfficialTeamList[Row],OfficialTeamList[Team Number],"ERROR",0)</f>
        <v>0</v>
      </c>
      <c r="B90" s="42" t="str">
        <f>_xlfn.XLOOKUP(RobotDesignResults[[#This Row],[Team Number]],OfficialTeamList[Team Number],OfficialTeamList[Team Name],"",0,)</f>
        <v/>
      </c>
      <c r="C90" s="17"/>
      <c r="D90" s="17"/>
      <c r="E90" s="17"/>
      <c r="F90" s="17"/>
      <c r="G90" s="17"/>
      <c r="H90" s="17"/>
      <c r="I90" s="17"/>
      <c r="J90" s="17"/>
      <c r="K90" s="17"/>
      <c r="L90" s="17"/>
      <c r="M90" s="12">
        <f>SUM(RobotDesignResults[[#This Row],[Identify - Strategy]:[Communicate - Fun (CV)]])</f>
        <v>0</v>
      </c>
      <c r="N90" s="43">
        <f>IF(RobotDesignResults[[#This Row],[Team Number]]&gt;0,MIN(_xlfn.RANK.EQ(RobotDesignResults[[#This Row],[Robot Design Score]],RobotDesignResults[Robot Design Score],0),NumberOfTeams),NumberOfTeams+1)</f>
        <v>1</v>
      </c>
    </row>
    <row r="91" spans="1:14" ht="30" customHeight="1" x14ac:dyDescent="0.45">
      <c r="A91" s="12">
        <f>_xlfn.XLOOKUP(90,OfficialTeamList[Row],OfficialTeamList[Team Number],"ERROR",0)</f>
        <v>0</v>
      </c>
      <c r="B91" s="42" t="str">
        <f>_xlfn.XLOOKUP(RobotDesignResults[[#This Row],[Team Number]],OfficialTeamList[Team Number],OfficialTeamList[Team Name],"",0,)</f>
        <v/>
      </c>
      <c r="C91" s="17"/>
      <c r="D91" s="17"/>
      <c r="E91" s="17"/>
      <c r="F91" s="17"/>
      <c r="G91" s="17"/>
      <c r="H91" s="17"/>
      <c r="I91" s="17"/>
      <c r="J91" s="17"/>
      <c r="K91" s="17"/>
      <c r="L91" s="17"/>
      <c r="M91" s="12">
        <f>SUM(RobotDesignResults[[#This Row],[Identify - Strategy]:[Communicate - Fun (CV)]])</f>
        <v>0</v>
      </c>
      <c r="N91" s="43">
        <f>IF(RobotDesignResults[[#This Row],[Team Number]]&gt;0,MIN(_xlfn.RANK.EQ(RobotDesignResults[[#This Row],[Robot Design Score]],RobotDesignResults[Robot Design Score],0),NumberOfTeams),NumberOfTeams+1)</f>
        <v>1</v>
      </c>
    </row>
    <row r="92" spans="1:14" ht="30" customHeight="1" x14ac:dyDescent="0.45">
      <c r="A92" s="12">
        <f>_xlfn.XLOOKUP(91,OfficialTeamList[Row],OfficialTeamList[Team Number],"ERROR",0)</f>
        <v>0</v>
      </c>
      <c r="B92" s="42" t="str">
        <f>_xlfn.XLOOKUP(RobotDesignResults[[#This Row],[Team Number]],OfficialTeamList[Team Number],OfficialTeamList[Team Name],"",0,)</f>
        <v/>
      </c>
      <c r="C92" s="17"/>
      <c r="D92" s="17"/>
      <c r="E92" s="17"/>
      <c r="F92" s="17"/>
      <c r="G92" s="17"/>
      <c r="H92" s="17"/>
      <c r="I92" s="17"/>
      <c r="J92" s="17"/>
      <c r="K92" s="17"/>
      <c r="L92" s="17"/>
      <c r="M92" s="12">
        <f>SUM(RobotDesignResults[[#This Row],[Identify - Strategy]:[Communicate - Fun (CV)]])</f>
        <v>0</v>
      </c>
      <c r="N92" s="43">
        <f>IF(RobotDesignResults[[#This Row],[Team Number]]&gt;0,MIN(_xlfn.RANK.EQ(RobotDesignResults[[#This Row],[Robot Design Score]],RobotDesignResults[Robot Design Score],0),NumberOfTeams),NumberOfTeams+1)</f>
        <v>1</v>
      </c>
    </row>
    <row r="93" spans="1:14" ht="30" customHeight="1" x14ac:dyDescent="0.45">
      <c r="A93" s="12">
        <f>_xlfn.XLOOKUP(92,OfficialTeamList[Row],OfficialTeamList[Team Number],"ERROR",0)</f>
        <v>0</v>
      </c>
      <c r="B93" s="42" t="str">
        <f>_xlfn.XLOOKUP(RobotDesignResults[[#This Row],[Team Number]],OfficialTeamList[Team Number],OfficialTeamList[Team Name],"",0,)</f>
        <v/>
      </c>
      <c r="C93" s="17"/>
      <c r="D93" s="17"/>
      <c r="E93" s="17"/>
      <c r="F93" s="17"/>
      <c r="G93" s="17"/>
      <c r="H93" s="17"/>
      <c r="I93" s="17"/>
      <c r="J93" s="17"/>
      <c r="K93" s="17"/>
      <c r="L93" s="17"/>
      <c r="M93" s="12">
        <f>SUM(RobotDesignResults[[#This Row],[Identify - Strategy]:[Communicate - Fun (CV)]])</f>
        <v>0</v>
      </c>
      <c r="N93" s="43">
        <f>IF(RobotDesignResults[[#This Row],[Team Number]]&gt;0,MIN(_xlfn.RANK.EQ(RobotDesignResults[[#This Row],[Robot Design Score]],RobotDesignResults[Robot Design Score],0),NumberOfTeams),NumberOfTeams+1)</f>
        <v>1</v>
      </c>
    </row>
    <row r="94" spans="1:14" ht="30" customHeight="1" x14ac:dyDescent="0.45">
      <c r="A94" s="12">
        <f>_xlfn.XLOOKUP(93,OfficialTeamList[Row],OfficialTeamList[Team Number],"ERROR",0)</f>
        <v>0</v>
      </c>
      <c r="B94" s="42" t="str">
        <f>_xlfn.XLOOKUP(RobotDesignResults[[#This Row],[Team Number]],OfficialTeamList[Team Number],OfficialTeamList[Team Name],"",0,)</f>
        <v/>
      </c>
      <c r="C94" s="17"/>
      <c r="D94" s="17"/>
      <c r="E94" s="17"/>
      <c r="F94" s="17"/>
      <c r="G94" s="17"/>
      <c r="H94" s="17"/>
      <c r="I94" s="17"/>
      <c r="J94" s="17"/>
      <c r="K94" s="17"/>
      <c r="L94" s="17"/>
      <c r="M94" s="12">
        <f>SUM(RobotDesignResults[[#This Row],[Identify - Strategy]:[Communicate - Fun (CV)]])</f>
        <v>0</v>
      </c>
      <c r="N94" s="43">
        <f>IF(RobotDesignResults[[#This Row],[Team Number]]&gt;0,MIN(_xlfn.RANK.EQ(RobotDesignResults[[#This Row],[Robot Design Score]],RobotDesignResults[Robot Design Score],0),NumberOfTeams),NumberOfTeams+1)</f>
        <v>1</v>
      </c>
    </row>
    <row r="95" spans="1:14" ht="30" customHeight="1" x14ac:dyDescent="0.45">
      <c r="A95" s="12">
        <f>_xlfn.XLOOKUP(94,OfficialTeamList[Row],OfficialTeamList[Team Number],"ERROR",0)</f>
        <v>0</v>
      </c>
      <c r="B95" s="42" t="str">
        <f>_xlfn.XLOOKUP(RobotDesignResults[[#This Row],[Team Number]],OfficialTeamList[Team Number],OfficialTeamList[Team Name],"",0,)</f>
        <v/>
      </c>
      <c r="C95" s="17"/>
      <c r="D95" s="17"/>
      <c r="E95" s="17"/>
      <c r="F95" s="17"/>
      <c r="G95" s="17"/>
      <c r="H95" s="17"/>
      <c r="I95" s="17"/>
      <c r="J95" s="17"/>
      <c r="K95" s="17"/>
      <c r="L95" s="17"/>
      <c r="M95" s="12">
        <f>SUM(RobotDesignResults[[#This Row],[Identify - Strategy]:[Communicate - Fun (CV)]])</f>
        <v>0</v>
      </c>
      <c r="N95" s="43">
        <f>IF(RobotDesignResults[[#This Row],[Team Number]]&gt;0,MIN(_xlfn.RANK.EQ(RobotDesignResults[[#This Row],[Robot Design Score]],RobotDesignResults[Robot Design Score],0),NumberOfTeams),NumberOfTeams+1)</f>
        <v>1</v>
      </c>
    </row>
    <row r="96" spans="1:14" ht="30" customHeight="1" x14ac:dyDescent="0.45">
      <c r="A96" s="12">
        <f>_xlfn.XLOOKUP(95,OfficialTeamList[Row],OfficialTeamList[Team Number],"ERROR",0)</f>
        <v>0</v>
      </c>
      <c r="B96" s="42" t="str">
        <f>_xlfn.XLOOKUP(RobotDesignResults[[#This Row],[Team Number]],OfficialTeamList[Team Number],OfficialTeamList[Team Name],"",0,)</f>
        <v/>
      </c>
      <c r="C96" s="17"/>
      <c r="D96" s="17"/>
      <c r="E96" s="17"/>
      <c r="F96" s="17"/>
      <c r="G96" s="17"/>
      <c r="H96" s="17"/>
      <c r="I96" s="17"/>
      <c r="J96" s="17"/>
      <c r="K96" s="17"/>
      <c r="L96" s="17"/>
      <c r="M96" s="12">
        <f>SUM(RobotDesignResults[[#This Row],[Identify - Strategy]:[Communicate - Fun (CV)]])</f>
        <v>0</v>
      </c>
      <c r="N96" s="43">
        <f>IF(RobotDesignResults[[#This Row],[Team Number]]&gt;0,MIN(_xlfn.RANK.EQ(RobotDesignResults[[#This Row],[Robot Design Score]],RobotDesignResults[Robot Design Score],0),NumberOfTeams),NumberOfTeams+1)</f>
        <v>1</v>
      </c>
    </row>
    <row r="97" spans="1:14" ht="30" customHeight="1" x14ac:dyDescent="0.45">
      <c r="A97" s="12">
        <f>_xlfn.XLOOKUP(96,OfficialTeamList[Row],OfficialTeamList[Team Number],"ERROR",0)</f>
        <v>0</v>
      </c>
      <c r="B97" s="42" t="str">
        <f>_xlfn.XLOOKUP(RobotDesignResults[[#This Row],[Team Number]],OfficialTeamList[Team Number],OfficialTeamList[Team Name],"",0,)</f>
        <v/>
      </c>
      <c r="C97" s="17"/>
      <c r="D97" s="17"/>
      <c r="E97" s="17"/>
      <c r="F97" s="17"/>
      <c r="G97" s="17"/>
      <c r="H97" s="17"/>
      <c r="I97" s="17"/>
      <c r="J97" s="17"/>
      <c r="K97" s="17"/>
      <c r="L97" s="17"/>
      <c r="M97" s="12">
        <f>SUM(RobotDesignResults[[#This Row],[Identify - Strategy]:[Communicate - Fun (CV)]])</f>
        <v>0</v>
      </c>
      <c r="N97" s="43">
        <f>IF(RobotDesignResults[[#This Row],[Team Number]]&gt;0,MIN(_xlfn.RANK.EQ(RobotDesignResults[[#This Row],[Robot Design Score]],RobotDesignResults[Robot Design Score],0),NumberOfTeams),NumberOfTeams+1)</f>
        <v>1</v>
      </c>
    </row>
    <row r="98" spans="1:14" ht="30" customHeight="1" x14ac:dyDescent="0.45">
      <c r="A98" s="12">
        <f>_xlfn.XLOOKUP(97,OfficialTeamList[Row],OfficialTeamList[Team Number],"ERROR",0)</f>
        <v>0</v>
      </c>
      <c r="B98" s="42" t="str">
        <f>_xlfn.XLOOKUP(RobotDesignResults[[#This Row],[Team Number]],OfficialTeamList[Team Number],OfficialTeamList[Team Name],"",0,)</f>
        <v/>
      </c>
      <c r="C98" s="17"/>
      <c r="D98" s="17"/>
      <c r="E98" s="17"/>
      <c r="F98" s="17"/>
      <c r="G98" s="17"/>
      <c r="H98" s="17"/>
      <c r="I98" s="17"/>
      <c r="J98" s="17"/>
      <c r="K98" s="17"/>
      <c r="L98" s="17"/>
      <c r="M98" s="12">
        <f>SUM(RobotDesignResults[[#This Row],[Identify - Strategy]:[Communicate - Fun (CV)]])</f>
        <v>0</v>
      </c>
      <c r="N98" s="43">
        <f>IF(RobotDesignResults[[#This Row],[Team Number]]&gt;0,MIN(_xlfn.RANK.EQ(RobotDesignResults[[#This Row],[Robot Design Score]],RobotDesignResults[Robot Design Score],0),NumberOfTeams),NumberOfTeams+1)</f>
        <v>1</v>
      </c>
    </row>
    <row r="99" spans="1:14" ht="30" customHeight="1" x14ac:dyDescent="0.45">
      <c r="A99" s="12">
        <f>_xlfn.XLOOKUP(98,OfficialTeamList[Row],OfficialTeamList[Team Number],"ERROR",0)</f>
        <v>0</v>
      </c>
      <c r="B99" s="42" t="str">
        <f>_xlfn.XLOOKUP(RobotDesignResults[[#This Row],[Team Number]],OfficialTeamList[Team Number],OfficialTeamList[Team Name],"",0,)</f>
        <v/>
      </c>
      <c r="C99" s="17"/>
      <c r="D99" s="17"/>
      <c r="E99" s="17"/>
      <c r="F99" s="17"/>
      <c r="G99" s="17"/>
      <c r="H99" s="17"/>
      <c r="I99" s="17"/>
      <c r="J99" s="17"/>
      <c r="K99" s="17"/>
      <c r="L99" s="17"/>
      <c r="M99" s="12">
        <f>SUM(RobotDesignResults[[#This Row],[Identify - Strategy]:[Communicate - Fun (CV)]])</f>
        <v>0</v>
      </c>
      <c r="N99" s="43">
        <f>IF(RobotDesignResults[[#This Row],[Team Number]]&gt;0,MIN(_xlfn.RANK.EQ(RobotDesignResults[[#This Row],[Robot Design Score]],RobotDesignResults[Robot Design Score],0),NumberOfTeams),NumberOfTeams+1)</f>
        <v>1</v>
      </c>
    </row>
    <row r="100" spans="1:14" ht="30" customHeight="1" x14ac:dyDescent="0.45">
      <c r="A100" s="12">
        <f>_xlfn.XLOOKUP(99,OfficialTeamList[Row],OfficialTeamList[Team Number],"ERROR",0)</f>
        <v>0</v>
      </c>
      <c r="B100" s="42" t="str">
        <f>_xlfn.XLOOKUP(RobotDesignResults[[#This Row],[Team Number]],OfficialTeamList[Team Number],OfficialTeamList[Team Name],"",0,)</f>
        <v/>
      </c>
      <c r="C100" s="17"/>
      <c r="D100" s="17"/>
      <c r="E100" s="17"/>
      <c r="F100" s="17"/>
      <c r="G100" s="17"/>
      <c r="H100" s="17"/>
      <c r="I100" s="17"/>
      <c r="J100" s="17"/>
      <c r="K100" s="17"/>
      <c r="L100" s="17"/>
      <c r="M100" s="12">
        <f>SUM(RobotDesignResults[[#This Row],[Identify - Strategy]:[Communicate - Fun (CV)]])</f>
        <v>0</v>
      </c>
      <c r="N100" s="43">
        <f>IF(RobotDesignResults[[#This Row],[Team Number]]&gt;0,MIN(_xlfn.RANK.EQ(RobotDesignResults[[#This Row],[Robot Design Score]],RobotDesignResults[Robot Design Score],0),NumberOfTeams),NumberOfTeams+1)</f>
        <v>1</v>
      </c>
    </row>
    <row r="101" spans="1:14" ht="30" customHeight="1" x14ac:dyDescent="0.45">
      <c r="A101" s="12">
        <f>_xlfn.XLOOKUP(100,OfficialTeamList[Row],OfficialTeamList[Team Number],"ERROR",0)</f>
        <v>0</v>
      </c>
      <c r="B101" s="42" t="str">
        <f>_xlfn.XLOOKUP(RobotDesignResults[[#This Row],[Team Number]],OfficialTeamList[Team Number],OfficialTeamList[Team Name],"",0,)</f>
        <v/>
      </c>
      <c r="C101" s="17"/>
      <c r="D101" s="17"/>
      <c r="E101" s="17"/>
      <c r="F101" s="17"/>
      <c r="G101" s="17"/>
      <c r="H101" s="17"/>
      <c r="I101" s="17"/>
      <c r="J101" s="17"/>
      <c r="K101" s="17"/>
      <c r="L101" s="17"/>
      <c r="M101" s="12">
        <f>SUM(RobotDesignResults[[#This Row],[Identify - Strategy]:[Communicate - Fun (CV)]])</f>
        <v>0</v>
      </c>
      <c r="N101" s="43">
        <f>IF(RobotDesignResults[[#This Row],[Team Number]]&gt;0,MIN(_xlfn.RANK.EQ(RobotDesignResults[[#This Row],[Robot Design Score]],RobotDesignResults[Robot Design Score],0),NumberOfTeams),NumberOfTeams+1)</f>
        <v>1</v>
      </c>
    </row>
    <row r="102" spans="1:14" ht="30" customHeight="1" x14ac:dyDescent="0.45">
      <c r="A102" s="12">
        <f>_xlfn.XLOOKUP(101,OfficialTeamList[Row],OfficialTeamList[Team Number],"ERROR",0)</f>
        <v>0</v>
      </c>
      <c r="B102" s="42" t="str">
        <f>_xlfn.XLOOKUP(RobotDesignResults[[#This Row],[Team Number]],OfficialTeamList[Team Number],OfficialTeamList[Team Name],"",0,)</f>
        <v/>
      </c>
      <c r="C102" s="17"/>
      <c r="D102" s="17"/>
      <c r="E102" s="17"/>
      <c r="F102" s="17"/>
      <c r="G102" s="17"/>
      <c r="H102" s="17"/>
      <c r="I102" s="17"/>
      <c r="J102" s="17"/>
      <c r="K102" s="17"/>
      <c r="L102" s="17"/>
      <c r="M102" s="12">
        <f>SUM(RobotDesignResults[[#This Row],[Identify - Strategy]:[Communicate - Fun (CV)]])</f>
        <v>0</v>
      </c>
      <c r="N102" s="43">
        <f>IF(RobotDesignResults[[#This Row],[Team Number]]&gt;0,MIN(_xlfn.RANK.EQ(RobotDesignResults[[#This Row],[Robot Design Score]],RobotDesignResults[Robot Design Score],0),NumberOfTeams),NumberOfTeams+1)</f>
        <v>1</v>
      </c>
    </row>
    <row r="103" spans="1:14" ht="30" customHeight="1" x14ac:dyDescent="0.45">
      <c r="A103" s="12">
        <f>_xlfn.XLOOKUP(102,OfficialTeamList[Row],OfficialTeamList[Team Number],"ERROR",0)</f>
        <v>0</v>
      </c>
      <c r="B103" s="42" t="str">
        <f>_xlfn.XLOOKUP(RobotDesignResults[[#This Row],[Team Number]],OfficialTeamList[Team Number],OfficialTeamList[Team Name],"",0,)</f>
        <v/>
      </c>
      <c r="C103" s="17"/>
      <c r="D103" s="17"/>
      <c r="E103" s="17"/>
      <c r="F103" s="17"/>
      <c r="G103" s="17"/>
      <c r="H103" s="17"/>
      <c r="I103" s="17"/>
      <c r="J103" s="17"/>
      <c r="K103" s="17"/>
      <c r="L103" s="17"/>
      <c r="M103" s="12">
        <f>SUM(RobotDesignResults[[#This Row],[Identify - Strategy]:[Communicate - Fun (CV)]])</f>
        <v>0</v>
      </c>
      <c r="N103" s="43">
        <f>IF(RobotDesignResults[[#This Row],[Team Number]]&gt;0,MIN(_xlfn.RANK.EQ(RobotDesignResults[[#This Row],[Robot Design Score]],RobotDesignResults[Robot Design Score],0),NumberOfTeams),NumberOfTeams+1)</f>
        <v>1</v>
      </c>
    </row>
    <row r="104" spans="1:14" ht="30" customHeight="1" x14ac:dyDescent="0.45">
      <c r="A104" s="12">
        <f>_xlfn.XLOOKUP(103,OfficialTeamList[Row],OfficialTeamList[Team Number],"ERROR",0)</f>
        <v>0</v>
      </c>
      <c r="B104" s="42" t="str">
        <f>_xlfn.XLOOKUP(RobotDesignResults[[#This Row],[Team Number]],OfficialTeamList[Team Number],OfficialTeamList[Team Name],"",0,)</f>
        <v/>
      </c>
      <c r="C104" s="17"/>
      <c r="D104" s="17"/>
      <c r="E104" s="17"/>
      <c r="F104" s="17"/>
      <c r="G104" s="17"/>
      <c r="H104" s="17"/>
      <c r="I104" s="17"/>
      <c r="J104" s="17"/>
      <c r="K104" s="17"/>
      <c r="L104" s="17"/>
      <c r="M104" s="12">
        <f>SUM(RobotDesignResults[[#This Row],[Identify - Strategy]:[Communicate - Fun (CV)]])</f>
        <v>0</v>
      </c>
      <c r="N104" s="43">
        <f>IF(RobotDesignResults[[#This Row],[Team Number]]&gt;0,MIN(_xlfn.RANK.EQ(RobotDesignResults[[#This Row],[Robot Design Score]],RobotDesignResults[Robot Design Score],0),NumberOfTeams),NumberOfTeams+1)</f>
        <v>1</v>
      </c>
    </row>
    <row r="105" spans="1:14" ht="30" customHeight="1" x14ac:dyDescent="0.45">
      <c r="A105" s="12">
        <f>_xlfn.XLOOKUP(104,OfficialTeamList[Row],OfficialTeamList[Team Number],"ERROR",0)</f>
        <v>0</v>
      </c>
      <c r="B105" s="42" t="str">
        <f>_xlfn.XLOOKUP(RobotDesignResults[[#This Row],[Team Number]],OfficialTeamList[Team Number],OfficialTeamList[Team Name],"",0,)</f>
        <v/>
      </c>
      <c r="C105" s="17"/>
      <c r="D105" s="17"/>
      <c r="E105" s="17"/>
      <c r="F105" s="17"/>
      <c r="G105" s="17"/>
      <c r="H105" s="17"/>
      <c r="I105" s="17"/>
      <c r="J105" s="17"/>
      <c r="K105" s="17"/>
      <c r="L105" s="17"/>
      <c r="M105" s="12">
        <f>SUM(RobotDesignResults[[#This Row],[Identify - Strategy]:[Communicate - Fun (CV)]])</f>
        <v>0</v>
      </c>
      <c r="N105" s="43">
        <f>IF(RobotDesignResults[[#This Row],[Team Number]]&gt;0,MIN(_xlfn.RANK.EQ(RobotDesignResults[[#This Row],[Robot Design Score]],RobotDesignResults[Robot Design Score],0),NumberOfTeams),NumberOfTeams+1)</f>
        <v>1</v>
      </c>
    </row>
    <row r="106" spans="1:14" ht="30" customHeight="1" x14ac:dyDescent="0.45">
      <c r="A106" s="12">
        <f>_xlfn.XLOOKUP(105,OfficialTeamList[Row],OfficialTeamList[Team Number],"ERROR",0)</f>
        <v>0</v>
      </c>
      <c r="B106" s="42" t="str">
        <f>_xlfn.XLOOKUP(RobotDesignResults[[#This Row],[Team Number]],OfficialTeamList[Team Number],OfficialTeamList[Team Name],"",0,)</f>
        <v/>
      </c>
      <c r="C106" s="17"/>
      <c r="D106" s="17"/>
      <c r="E106" s="17"/>
      <c r="F106" s="17"/>
      <c r="G106" s="17"/>
      <c r="H106" s="17"/>
      <c r="I106" s="17"/>
      <c r="J106" s="17"/>
      <c r="K106" s="17"/>
      <c r="L106" s="17"/>
      <c r="M106" s="12">
        <f>SUM(RobotDesignResults[[#This Row],[Identify - Strategy]:[Communicate - Fun (CV)]])</f>
        <v>0</v>
      </c>
      <c r="N106" s="43">
        <f>IF(RobotDesignResults[[#This Row],[Team Number]]&gt;0,MIN(_xlfn.RANK.EQ(RobotDesignResults[[#This Row],[Robot Design Score]],RobotDesignResults[Robot Design Score],0),NumberOfTeams),NumberOfTeams+1)</f>
        <v>1</v>
      </c>
    </row>
    <row r="107" spans="1:14" ht="30" customHeight="1" x14ac:dyDescent="0.45">
      <c r="A107" s="12">
        <f>_xlfn.XLOOKUP(106,OfficialTeamList[Row],OfficialTeamList[Team Number],"ERROR",0)</f>
        <v>0</v>
      </c>
      <c r="B107" s="42" t="str">
        <f>_xlfn.XLOOKUP(RobotDesignResults[[#This Row],[Team Number]],OfficialTeamList[Team Number],OfficialTeamList[Team Name],"",0,)</f>
        <v/>
      </c>
      <c r="C107" s="17"/>
      <c r="D107" s="17"/>
      <c r="E107" s="17"/>
      <c r="F107" s="17"/>
      <c r="G107" s="17"/>
      <c r="H107" s="17"/>
      <c r="I107" s="17"/>
      <c r="J107" s="17"/>
      <c r="K107" s="17"/>
      <c r="L107" s="17"/>
      <c r="M107" s="12">
        <f>SUM(RobotDesignResults[[#This Row],[Identify - Strategy]:[Communicate - Fun (CV)]])</f>
        <v>0</v>
      </c>
      <c r="N107" s="43">
        <f>IF(RobotDesignResults[[#This Row],[Team Number]]&gt;0,MIN(_xlfn.RANK.EQ(RobotDesignResults[[#This Row],[Robot Design Score]],RobotDesignResults[Robot Design Score],0),NumberOfTeams),NumberOfTeams+1)</f>
        <v>1</v>
      </c>
    </row>
    <row r="108" spans="1:14" ht="30" customHeight="1" x14ac:dyDescent="0.45">
      <c r="A108" s="12">
        <f>_xlfn.XLOOKUP(107,OfficialTeamList[Row],OfficialTeamList[Team Number],"ERROR",0)</f>
        <v>0</v>
      </c>
      <c r="B108" s="42" t="str">
        <f>_xlfn.XLOOKUP(RobotDesignResults[[#This Row],[Team Number]],OfficialTeamList[Team Number],OfficialTeamList[Team Name],"",0,)</f>
        <v/>
      </c>
      <c r="C108" s="17"/>
      <c r="D108" s="17"/>
      <c r="E108" s="17"/>
      <c r="F108" s="17"/>
      <c r="G108" s="17"/>
      <c r="H108" s="17"/>
      <c r="I108" s="17"/>
      <c r="J108" s="17"/>
      <c r="K108" s="17"/>
      <c r="L108" s="17"/>
      <c r="M108" s="12">
        <f>SUM(RobotDesignResults[[#This Row],[Identify - Strategy]:[Communicate - Fun (CV)]])</f>
        <v>0</v>
      </c>
      <c r="N108" s="43">
        <f>IF(RobotDesignResults[[#This Row],[Team Number]]&gt;0,MIN(_xlfn.RANK.EQ(RobotDesignResults[[#This Row],[Robot Design Score]],RobotDesignResults[Robot Design Score],0),NumberOfTeams),NumberOfTeams+1)</f>
        <v>1</v>
      </c>
    </row>
    <row r="109" spans="1:14" ht="30" customHeight="1" x14ac:dyDescent="0.45">
      <c r="A109" s="12">
        <f>_xlfn.XLOOKUP(108,OfficialTeamList[Row],OfficialTeamList[Team Number],"ERROR",0)</f>
        <v>0</v>
      </c>
      <c r="B109" s="42" t="str">
        <f>_xlfn.XLOOKUP(RobotDesignResults[[#This Row],[Team Number]],OfficialTeamList[Team Number],OfficialTeamList[Team Name],"",0,)</f>
        <v/>
      </c>
      <c r="C109" s="17"/>
      <c r="D109" s="17"/>
      <c r="E109" s="17"/>
      <c r="F109" s="17"/>
      <c r="G109" s="17"/>
      <c r="H109" s="17"/>
      <c r="I109" s="17"/>
      <c r="J109" s="17"/>
      <c r="K109" s="17"/>
      <c r="L109" s="17"/>
      <c r="M109" s="12">
        <f>SUM(RobotDesignResults[[#This Row],[Identify - Strategy]:[Communicate - Fun (CV)]])</f>
        <v>0</v>
      </c>
      <c r="N109" s="43">
        <f>IF(RobotDesignResults[[#This Row],[Team Number]]&gt;0,MIN(_xlfn.RANK.EQ(RobotDesignResults[[#This Row],[Robot Design Score]],RobotDesignResults[Robot Design Score],0),NumberOfTeams),NumberOfTeams+1)</f>
        <v>1</v>
      </c>
    </row>
    <row r="110" spans="1:14" ht="30" customHeight="1" x14ac:dyDescent="0.45">
      <c r="A110" s="12">
        <f>_xlfn.XLOOKUP(109,OfficialTeamList[Row],OfficialTeamList[Team Number],"ERROR",0)</f>
        <v>0</v>
      </c>
      <c r="B110" s="42" t="str">
        <f>_xlfn.XLOOKUP(RobotDesignResults[[#This Row],[Team Number]],OfficialTeamList[Team Number],OfficialTeamList[Team Name],"",0,)</f>
        <v/>
      </c>
      <c r="C110" s="17"/>
      <c r="D110" s="17"/>
      <c r="E110" s="17"/>
      <c r="F110" s="17"/>
      <c r="G110" s="17"/>
      <c r="H110" s="17"/>
      <c r="I110" s="17"/>
      <c r="J110" s="17"/>
      <c r="K110" s="17"/>
      <c r="L110" s="17"/>
      <c r="M110" s="12">
        <f>SUM(RobotDesignResults[[#This Row],[Identify - Strategy]:[Communicate - Fun (CV)]])</f>
        <v>0</v>
      </c>
      <c r="N110" s="43">
        <f>IF(RobotDesignResults[[#This Row],[Team Number]]&gt;0,MIN(_xlfn.RANK.EQ(RobotDesignResults[[#This Row],[Robot Design Score]],RobotDesignResults[Robot Design Score],0),NumberOfTeams),NumberOfTeams+1)</f>
        <v>1</v>
      </c>
    </row>
    <row r="111" spans="1:14" ht="30" customHeight="1" x14ac:dyDescent="0.45">
      <c r="A111" s="12">
        <f>_xlfn.XLOOKUP(110,OfficialTeamList[Row],OfficialTeamList[Team Number],"ERROR",0)</f>
        <v>0</v>
      </c>
      <c r="B111" s="42" t="str">
        <f>_xlfn.XLOOKUP(RobotDesignResults[[#This Row],[Team Number]],OfficialTeamList[Team Number],OfficialTeamList[Team Name],"",0,)</f>
        <v/>
      </c>
      <c r="C111" s="17"/>
      <c r="D111" s="17"/>
      <c r="E111" s="17"/>
      <c r="F111" s="17"/>
      <c r="G111" s="17"/>
      <c r="H111" s="17"/>
      <c r="I111" s="17"/>
      <c r="J111" s="17"/>
      <c r="K111" s="17"/>
      <c r="L111" s="17"/>
      <c r="M111" s="12">
        <f>SUM(RobotDesignResults[[#This Row],[Identify - Strategy]:[Communicate - Fun (CV)]])</f>
        <v>0</v>
      </c>
      <c r="N111" s="43">
        <f>IF(RobotDesignResults[[#This Row],[Team Number]]&gt;0,MIN(_xlfn.RANK.EQ(RobotDesignResults[[#This Row],[Robot Design Score]],RobotDesignResults[Robot Design Score],0),NumberOfTeams),NumberOfTeams+1)</f>
        <v>1</v>
      </c>
    </row>
    <row r="112" spans="1:14" ht="30" customHeight="1" x14ac:dyDescent="0.45">
      <c r="A112" s="12">
        <f>_xlfn.XLOOKUP(111,OfficialTeamList[Row],OfficialTeamList[Team Number],"ERROR",0)</f>
        <v>0</v>
      </c>
      <c r="B112" s="42" t="str">
        <f>_xlfn.XLOOKUP(RobotDesignResults[[#This Row],[Team Number]],OfficialTeamList[Team Number],OfficialTeamList[Team Name],"",0,)</f>
        <v/>
      </c>
      <c r="C112" s="17"/>
      <c r="D112" s="17"/>
      <c r="E112" s="17"/>
      <c r="F112" s="17"/>
      <c r="G112" s="17"/>
      <c r="H112" s="17"/>
      <c r="I112" s="17"/>
      <c r="J112" s="17"/>
      <c r="K112" s="17"/>
      <c r="L112" s="17"/>
      <c r="M112" s="12">
        <f>SUM(RobotDesignResults[[#This Row],[Identify - Strategy]:[Communicate - Fun (CV)]])</f>
        <v>0</v>
      </c>
      <c r="N112" s="43">
        <f>IF(RobotDesignResults[[#This Row],[Team Number]]&gt;0,MIN(_xlfn.RANK.EQ(RobotDesignResults[[#This Row],[Robot Design Score]],RobotDesignResults[Robot Design Score],0),NumberOfTeams),NumberOfTeams+1)</f>
        <v>1</v>
      </c>
    </row>
    <row r="113" spans="1:14" ht="30" customHeight="1" x14ac:dyDescent="0.45">
      <c r="A113" s="12">
        <f>_xlfn.XLOOKUP(112,OfficialTeamList[Row],OfficialTeamList[Team Number],"ERROR",0)</f>
        <v>0</v>
      </c>
      <c r="B113" s="42" t="str">
        <f>_xlfn.XLOOKUP(RobotDesignResults[[#This Row],[Team Number]],OfficialTeamList[Team Number],OfficialTeamList[Team Name],"",0,)</f>
        <v/>
      </c>
      <c r="C113" s="17"/>
      <c r="D113" s="17"/>
      <c r="E113" s="17"/>
      <c r="F113" s="17"/>
      <c r="G113" s="17"/>
      <c r="H113" s="17"/>
      <c r="I113" s="17"/>
      <c r="J113" s="17"/>
      <c r="K113" s="17"/>
      <c r="L113" s="17"/>
      <c r="M113" s="12">
        <f>SUM(RobotDesignResults[[#This Row],[Identify - Strategy]:[Communicate - Fun (CV)]])</f>
        <v>0</v>
      </c>
      <c r="N113" s="43">
        <f>IF(RobotDesignResults[[#This Row],[Team Number]]&gt;0,MIN(_xlfn.RANK.EQ(RobotDesignResults[[#This Row],[Robot Design Score]],RobotDesignResults[Robot Design Score],0),NumberOfTeams),NumberOfTeams+1)</f>
        <v>1</v>
      </c>
    </row>
    <row r="114" spans="1:14" ht="30" customHeight="1" x14ac:dyDescent="0.45">
      <c r="A114" s="12">
        <f>_xlfn.XLOOKUP(113,OfficialTeamList[Row],OfficialTeamList[Team Number],"ERROR",0)</f>
        <v>0</v>
      </c>
      <c r="B114" s="42" t="str">
        <f>_xlfn.XLOOKUP(RobotDesignResults[[#This Row],[Team Number]],OfficialTeamList[Team Number],OfficialTeamList[Team Name],"",0,)</f>
        <v/>
      </c>
      <c r="C114" s="17"/>
      <c r="D114" s="17"/>
      <c r="E114" s="17"/>
      <c r="F114" s="17"/>
      <c r="G114" s="17"/>
      <c r="H114" s="17"/>
      <c r="I114" s="17"/>
      <c r="J114" s="17"/>
      <c r="K114" s="17"/>
      <c r="L114" s="17"/>
      <c r="M114" s="12">
        <f>SUM(RobotDesignResults[[#This Row],[Identify - Strategy]:[Communicate - Fun (CV)]])</f>
        <v>0</v>
      </c>
      <c r="N114" s="43">
        <f>IF(RobotDesignResults[[#This Row],[Team Number]]&gt;0,MIN(_xlfn.RANK.EQ(RobotDesignResults[[#This Row],[Robot Design Score]],RobotDesignResults[Robot Design Score],0),NumberOfTeams),NumberOfTeams+1)</f>
        <v>1</v>
      </c>
    </row>
    <row r="115" spans="1:14" ht="30" customHeight="1" x14ac:dyDescent="0.45">
      <c r="A115" s="12">
        <f>_xlfn.XLOOKUP(114,OfficialTeamList[Row],OfficialTeamList[Team Number],"ERROR",0)</f>
        <v>0</v>
      </c>
      <c r="B115" s="42" t="str">
        <f>_xlfn.XLOOKUP(RobotDesignResults[[#This Row],[Team Number]],OfficialTeamList[Team Number],OfficialTeamList[Team Name],"",0,)</f>
        <v/>
      </c>
      <c r="C115" s="17"/>
      <c r="D115" s="17"/>
      <c r="E115" s="17"/>
      <c r="F115" s="17"/>
      <c r="G115" s="17"/>
      <c r="H115" s="17"/>
      <c r="I115" s="17"/>
      <c r="J115" s="17"/>
      <c r="K115" s="17"/>
      <c r="L115" s="17"/>
      <c r="M115" s="12">
        <f>SUM(RobotDesignResults[[#This Row],[Identify - Strategy]:[Communicate - Fun (CV)]])</f>
        <v>0</v>
      </c>
      <c r="N115" s="43">
        <f>IF(RobotDesignResults[[#This Row],[Team Number]]&gt;0,MIN(_xlfn.RANK.EQ(RobotDesignResults[[#This Row],[Robot Design Score]],RobotDesignResults[Robot Design Score],0),NumberOfTeams),NumberOfTeams+1)</f>
        <v>1</v>
      </c>
    </row>
    <row r="116" spans="1:14" ht="30" customHeight="1" x14ac:dyDescent="0.45">
      <c r="A116" s="12">
        <f>_xlfn.XLOOKUP(115,OfficialTeamList[Row],OfficialTeamList[Team Number],"ERROR",0)</f>
        <v>0</v>
      </c>
      <c r="B116" s="42" t="str">
        <f>_xlfn.XLOOKUP(RobotDesignResults[[#This Row],[Team Number]],OfficialTeamList[Team Number],OfficialTeamList[Team Name],"",0,)</f>
        <v/>
      </c>
      <c r="C116" s="17"/>
      <c r="D116" s="17"/>
      <c r="E116" s="17"/>
      <c r="F116" s="17"/>
      <c r="G116" s="17"/>
      <c r="H116" s="17"/>
      <c r="I116" s="17"/>
      <c r="J116" s="17"/>
      <c r="K116" s="17"/>
      <c r="L116" s="17"/>
      <c r="M116" s="12">
        <f>SUM(RobotDesignResults[[#This Row],[Identify - Strategy]:[Communicate - Fun (CV)]])</f>
        <v>0</v>
      </c>
      <c r="N116" s="43">
        <f>IF(RobotDesignResults[[#This Row],[Team Number]]&gt;0,MIN(_xlfn.RANK.EQ(RobotDesignResults[[#This Row],[Robot Design Score]],RobotDesignResults[Robot Design Score],0),NumberOfTeams),NumberOfTeams+1)</f>
        <v>1</v>
      </c>
    </row>
    <row r="117" spans="1:14" ht="30" customHeight="1" x14ac:dyDescent="0.45">
      <c r="A117" s="12">
        <f>_xlfn.XLOOKUP(116,OfficialTeamList[Row],OfficialTeamList[Team Number],"ERROR",0)</f>
        <v>0</v>
      </c>
      <c r="B117" s="42" t="str">
        <f>_xlfn.XLOOKUP(RobotDesignResults[[#This Row],[Team Number]],OfficialTeamList[Team Number],OfficialTeamList[Team Name],"",0,)</f>
        <v/>
      </c>
      <c r="C117" s="17"/>
      <c r="D117" s="17"/>
      <c r="E117" s="17"/>
      <c r="F117" s="17"/>
      <c r="G117" s="17"/>
      <c r="H117" s="17"/>
      <c r="I117" s="17"/>
      <c r="J117" s="17"/>
      <c r="K117" s="17"/>
      <c r="L117" s="17"/>
      <c r="M117" s="12">
        <f>SUM(RobotDesignResults[[#This Row],[Identify - Strategy]:[Communicate - Fun (CV)]])</f>
        <v>0</v>
      </c>
      <c r="N117" s="43">
        <f>IF(RobotDesignResults[[#This Row],[Team Number]]&gt;0,MIN(_xlfn.RANK.EQ(RobotDesignResults[[#This Row],[Robot Design Score]],RobotDesignResults[Robot Design Score],0),NumberOfTeams),NumberOfTeams+1)</f>
        <v>1</v>
      </c>
    </row>
    <row r="118" spans="1:14" ht="30" customHeight="1" x14ac:dyDescent="0.45">
      <c r="A118" s="12">
        <f>_xlfn.XLOOKUP(117,OfficialTeamList[Row],OfficialTeamList[Team Number],"ERROR",0)</f>
        <v>0</v>
      </c>
      <c r="B118" s="42" t="str">
        <f>_xlfn.XLOOKUP(RobotDesignResults[[#This Row],[Team Number]],OfficialTeamList[Team Number],OfficialTeamList[Team Name],"",0,)</f>
        <v/>
      </c>
      <c r="C118" s="17"/>
      <c r="D118" s="17"/>
      <c r="E118" s="17"/>
      <c r="F118" s="17"/>
      <c r="G118" s="17"/>
      <c r="H118" s="17"/>
      <c r="I118" s="17"/>
      <c r="J118" s="17"/>
      <c r="K118" s="17"/>
      <c r="L118" s="17"/>
      <c r="M118" s="12">
        <f>SUM(RobotDesignResults[[#This Row],[Identify - Strategy]:[Communicate - Fun (CV)]])</f>
        <v>0</v>
      </c>
      <c r="N118" s="43">
        <f>IF(RobotDesignResults[[#This Row],[Team Number]]&gt;0,MIN(_xlfn.RANK.EQ(RobotDesignResults[[#This Row],[Robot Design Score]],RobotDesignResults[Robot Design Score],0),NumberOfTeams),NumberOfTeams+1)</f>
        <v>1</v>
      </c>
    </row>
    <row r="119" spans="1:14" ht="30" customHeight="1" x14ac:dyDescent="0.45">
      <c r="A119" s="12">
        <f>_xlfn.XLOOKUP(118,OfficialTeamList[Row],OfficialTeamList[Team Number],"ERROR",0)</f>
        <v>0</v>
      </c>
      <c r="B119" s="42" t="str">
        <f>_xlfn.XLOOKUP(RobotDesignResults[[#This Row],[Team Number]],OfficialTeamList[Team Number],OfficialTeamList[Team Name],"",0,)</f>
        <v/>
      </c>
      <c r="C119" s="17"/>
      <c r="D119" s="17"/>
      <c r="E119" s="17"/>
      <c r="F119" s="17"/>
      <c r="G119" s="17"/>
      <c r="H119" s="17"/>
      <c r="I119" s="17"/>
      <c r="J119" s="17"/>
      <c r="K119" s="17"/>
      <c r="L119" s="17"/>
      <c r="M119" s="12">
        <f>SUM(RobotDesignResults[[#This Row],[Identify - Strategy]:[Communicate - Fun (CV)]])</f>
        <v>0</v>
      </c>
      <c r="N119" s="43">
        <f>IF(RobotDesignResults[[#This Row],[Team Number]]&gt;0,MIN(_xlfn.RANK.EQ(RobotDesignResults[[#This Row],[Robot Design Score]],RobotDesignResults[Robot Design Score],0),NumberOfTeams),NumberOfTeams+1)</f>
        <v>1</v>
      </c>
    </row>
    <row r="120" spans="1:14" ht="30" customHeight="1" x14ac:dyDescent="0.45">
      <c r="A120" s="12">
        <f>_xlfn.XLOOKUP(119,OfficialTeamList[Row],OfficialTeamList[Team Number],"ERROR",0)</f>
        <v>0</v>
      </c>
      <c r="B120" s="42" t="str">
        <f>_xlfn.XLOOKUP(RobotDesignResults[[#This Row],[Team Number]],OfficialTeamList[Team Number],OfficialTeamList[Team Name],"",0,)</f>
        <v/>
      </c>
      <c r="C120" s="17"/>
      <c r="D120" s="17"/>
      <c r="E120" s="17"/>
      <c r="F120" s="17"/>
      <c r="G120" s="17"/>
      <c r="H120" s="17"/>
      <c r="I120" s="17"/>
      <c r="J120" s="17"/>
      <c r="K120" s="17"/>
      <c r="L120" s="17"/>
      <c r="M120" s="12">
        <f>SUM(RobotDesignResults[[#This Row],[Identify - Strategy]:[Communicate - Fun (CV)]])</f>
        <v>0</v>
      </c>
      <c r="N120" s="43">
        <f>IF(RobotDesignResults[[#This Row],[Team Number]]&gt;0,MIN(_xlfn.RANK.EQ(RobotDesignResults[[#This Row],[Robot Design Score]],RobotDesignResults[Robot Design Score],0),NumberOfTeams),NumberOfTeams+1)</f>
        <v>1</v>
      </c>
    </row>
    <row r="121" spans="1:14" ht="30" customHeight="1" x14ac:dyDescent="0.45">
      <c r="A121" s="12">
        <f>_xlfn.XLOOKUP(120,OfficialTeamList[Row],OfficialTeamList[Team Number],"ERROR",0)</f>
        <v>0</v>
      </c>
      <c r="B121" s="42" t="str">
        <f>_xlfn.XLOOKUP(RobotDesignResults[[#This Row],[Team Number]],OfficialTeamList[Team Number],OfficialTeamList[Team Name],"",0,)</f>
        <v/>
      </c>
      <c r="C121" s="17"/>
      <c r="D121" s="17"/>
      <c r="E121" s="17"/>
      <c r="F121" s="17"/>
      <c r="G121" s="17"/>
      <c r="H121" s="17"/>
      <c r="I121" s="17"/>
      <c r="J121" s="17"/>
      <c r="K121" s="17"/>
      <c r="L121" s="17"/>
      <c r="M121" s="12">
        <f>SUM(RobotDesignResults[[#This Row],[Identify - Strategy]:[Communicate - Fun (CV)]])</f>
        <v>0</v>
      </c>
      <c r="N121" s="43">
        <f>IF(RobotDesignResults[[#This Row],[Team Number]]&gt;0,MIN(_xlfn.RANK.EQ(RobotDesignResults[[#This Row],[Robot Design Score]],RobotDesignResults[Robot Design Score],0),NumberOfTeams),NumberOfTeams+1)</f>
        <v>1</v>
      </c>
    </row>
    <row r="122" spans="1:14" ht="30" customHeight="1" x14ac:dyDescent="0.45">
      <c r="A122" s="12">
        <f>_xlfn.XLOOKUP(121,OfficialTeamList[Row],OfficialTeamList[Team Number],"ERROR",0)</f>
        <v>0</v>
      </c>
      <c r="B122" s="42" t="str">
        <f>_xlfn.XLOOKUP(RobotDesignResults[[#This Row],[Team Number]],OfficialTeamList[Team Number],OfficialTeamList[Team Name],"",0,)</f>
        <v/>
      </c>
      <c r="C122" s="17"/>
      <c r="D122" s="17"/>
      <c r="E122" s="17"/>
      <c r="F122" s="17"/>
      <c r="G122" s="17"/>
      <c r="H122" s="17"/>
      <c r="I122" s="17"/>
      <c r="J122" s="17"/>
      <c r="K122" s="17"/>
      <c r="L122" s="17"/>
      <c r="M122" s="12">
        <f>SUM(RobotDesignResults[[#This Row],[Identify - Strategy]:[Communicate - Fun (CV)]])</f>
        <v>0</v>
      </c>
      <c r="N122" s="43">
        <f>IF(RobotDesignResults[[#This Row],[Team Number]]&gt;0,MIN(_xlfn.RANK.EQ(RobotDesignResults[[#This Row],[Robot Design Score]],RobotDesignResults[Robot Design Score],0),NumberOfTeams),NumberOfTeams+1)</f>
        <v>1</v>
      </c>
    </row>
    <row r="123" spans="1:14" ht="30" customHeight="1" x14ac:dyDescent="0.45">
      <c r="A123" s="12">
        <f>_xlfn.XLOOKUP(122,OfficialTeamList[Row],OfficialTeamList[Team Number],"ERROR",0)</f>
        <v>0</v>
      </c>
      <c r="B123" s="42" t="str">
        <f>_xlfn.XLOOKUP(RobotDesignResults[[#This Row],[Team Number]],OfficialTeamList[Team Number],OfficialTeamList[Team Name],"",0,)</f>
        <v/>
      </c>
      <c r="C123" s="17"/>
      <c r="D123" s="17"/>
      <c r="E123" s="17"/>
      <c r="F123" s="17"/>
      <c r="G123" s="17"/>
      <c r="H123" s="17"/>
      <c r="I123" s="17"/>
      <c r="J123" s="17"/>
      <c r="K123" s="17"/>
      <c r="L123" s="17"/>
      <c r="M123" s="12">
        <f>SUM(RobotDesignResults[[#This Row],[Identify - Strategy]:[Communicate - Fun (CV)]])</f>
        <v>0</v>
      </c>
      <c r="N123" s="43">
        <f>IF(RobotDesignResults[[#This Row],[Team Number]]&gt;0,MIN(_xlfn.RANK.EQ(RobotDesignResults[[#This Row],[Robot Design Score]],RobotDesignResults[Robot Design Score],0),NumberOfTeams),NumberOfTeams+1)</f>
        <v>1</v>
      </c>
    </row>
    <row r="124" spans="1:14" ht="30" customHeight="1" x14ac:dyDescent="0.45">
      <c r="A124" s="12">
        <f>_xlfn.XLOOKUP(123,OfficialTeamList[Row],OfficialTeamList[Team Number],"ERROR",0)</f>
        <v>0</v>
      </c>
      <c r="B124" s="42" t="str">
        <f>_xlfn.XLOOKUP(RobotDesignResults[[#This Row],[Team Number]],OfficialTeamList[Team Number],OfficialTeamList[Team Name],"",0,)</f>
        <v/>
      </c>
      <c r="C124" s="17"/>
      <c r="D124" s="17"/>
      <c r="E124" s="17"/>
      <c r="F124" s="17"/>
      <c r="G124" s="17"/>
      <c r="H124" s="17"/>
      <c r="I124" s="17"/>
      <c r="J124" s="17"/>
      <c r="K124" s="17"/>
      <c r="L124" s="17"/>
      <c r="M124" s="12">
        <f>SUM(RobotDesignResults[[#This Row],[Identify - Strategy]:[Communicate - Fun (CV)]])</f>
        <v>0</v>
      </c>
      <c r="N124" s="43">
        <f>IF(RobotDesignResults[[#This Row],[Team Number]]&gt;0,MIN(_xlfn.RANK.EQ(RobotDesignResults[[#This Row],[Robot Design Score]],RobotDesignResults[Robot Design Score],0),NumberOfTeams),NumberOfTeams+1)</f>
        <v>1</v>
      </c>
    </row>
    <row r="125" spans="1:14" ht="30" customHeight="1" x14ac:dyDescent="0.45">
      <c r="A125" s="12">
        <f>_xlfn.XLOOKUP(124,OfficialTeamList[Row],OfficialTeamList[Team Number],"ERROR",0)</f>
        <v>0</v>
      </c>
      <c r="B125" s="42" t="str">
        <f>_xlfn.XLOOKUP(RobotDesignResults[[#This Row],[Team Number]],OfficialTeamList[Team Number],OfficialTeamList[Team Name],"",0,)</f>
        <v/>
      </c>
      <c r="C125" s="17"/>
      <c r="D125" s="17"/>
      <c r="E125" s="17"/>
      <c r="F125" s="17"/>
      <c r="G125" s="17"/>
      <c r="H125" s="17"/>
      <c r="I125" s="17"/>
      <c r="J125" s="17"/>
      <c r="K125" s="17"/>
      <c r="L125" s="17"/>
      <c r="M125" s="12">
        <f>SUM(RobotDesignResults[[#This Row],[Identify - Strategy]:[Communicate - Fun (CV)]])</f>
        <v>0</v>
      </c>
      <c r="N125" s="43">
        <f>IF(RobotDesignResults[[#This Row],[Team Number]]&gt;0,MIN(_xlfn.RANK.EQ(RobotDesignResults[[#This Row],[Robot Design Score]],RobotDesignResults[Robot Design Score],0),NumberOfTeams),NumberOfTeams+1)</f>
        <v>1</v>
      </c>
    </row>
    <row r="126" spans="1:14" ht="30" customHeight="1" x14ac:dyDescent="0.45">
      <c r="A126" s="12">
        <f>_xlfn.XLOOKUP(125,OfficialTeamList[Row],OfficialTeamList[Team Number],"ERROR",0)</f>
        <v>0</v>
      </c>
      <c r="B126" s="42" t="str">
        <f>_xlfn.XLOOKUP(RobotDesignResults[[#This Row],[Team Number]],OfficialTeamList[Team Number],OfficialTeamList[Team Name],"",0,)</f>
        <v/>
      </c>
      <c r="C126" s="17"/>
      <c r="D126" s="17"/>
      <c r="E126" s="17"/>
      <c r="F126" s="17"/>
      <c r="G126" s="17"/>
      <c r="H126" s="17"/>
      <c r="I126" s="17"/>
      <c r="J126" s="17"/>
      <c r="K126" s="17"/>
      <c r="L126" s="17"/>
      <c r="M126" s="12">
        <f>SUM(RobotDesignResults[[#This Row],[Identify - Strategy]:[Communicate - Fun (CV)]])</f>
        <v>0</v>
      </c>
      <c r="N126" s="43">
        <f>IF(RobotDesignResults[[#This Row],[Team Number]]&gt;0,MIN(_xlfn.RANK.EQ(RobotDesignResults[[#This Row],[Robot Design Score]],RobotDesignResults[Robot Design Score],0),NumberOfTeams),NumberOfTeams+1)</f>
        <v>1</v>
      </c>
    </row>
    <row r="127" spans="1:14" ht="30" customHeight="1" x14ac:dyDescent="0.45">
      <c r="A127" s="12">
        <f>_xlfn.XLOOKUP(126,OfficialTeamList[Row],OfficialTeamList[Team Number],"ERROR",0)</f>
        <v>0</v>
      </c>
      <c r="B127" s="42" t="str">
        <f>_xlfn.XLOOKUP(RobotDesignResults[[#This Row],[Team Number]],OfficialTeamList[Team Number],OfficialTeamList[Team Name],"",0,)</f>
        <v/>
      </c>
      <c r="C127" s="17"/>
      <c r="D127" s="17"/>
      <c r="E127" s="17"/>
      <c r="F127" s="17"/>
      <c r="G127" s="17"/>
      <c r="H127" s="17"/>
      <c r="I127" s="17"/>
      <c r="J127" s="17"/>
      <c r="K127" s="17"/>
      <c r="L127" s="17"/>
      <c r="M127" s="12">
        <f>SUM(RobotDesignResults[[#This Row],[Identify - Strategy]:[Communicate - Fun (CV)]])</f>
        <v>0</v>
      </c>
      <c r="N127" s="43">
        <f>IF(RobotDesignResults[[#This Row],[Team Number]]&gt;0,MIN(_xlfn.RANK.EQ(RobotDesignResults[[#This Row],[Robot Design Score]],RobotDesignResults[Robot Design Score],0),NumberOfTeams),NumberOfTeams+1)</f>
        <v>1</v>
      </c>
    </row>
    <row r="128" spans="1:14" ht="30" customHeight="1" x14ac:dyDescent="0.45">
      <c r="A128" s="12">
        <f>_xlfn.XLOOKUP(127,OfficialTeamList[Row],OfficialTeamList[Team Number],"ERROR",0)</f>
        <v>0</v>
      </c>
      <c r="B128" s="42" t="str">
        <f>_xlfn.XLOOKUP(RobotDesignResults[[#This Row],[Team Number]],OfficialTeamList[Team Number],OfficialTeamList[Team Name],"",0,)</f>
        <v/>
      </c>
      <c r="C128" s="17"/>
      <c r="D128" s="17"/>
      <c r="E128" s="17"/>
      <c r="F128" s="17"/>
      <c r="G128" s="17"/>
      <c r="H128" s="17"/>
      <c r="I128" s="17"/>
      <c r="J128" s="17"/>
      <c r="K128" s="17"/>
      <c r="L128" s="17"/>
      <c r="M128" s="12">
        <f>SUM(RobotDesignResults[[#This Row],[Identify - Strategy]:[Communicate - Fun (CV)]])</f>
        <v>0</v>
      </c>
      <c r="N128" s="43">
        <f>IF(RobotDesignResults[[#This Row],[Team Number]]&gt;0,MIN(_xlfn.RANK.EQ(RobotDesignResults[[#This Row],[Robot Design Score]],RobotDesignResults[Robot Design Score],0),NumberOfTeams),NumberOfTeams+1)</f>
        <v>1</v>
      </c>
    </row>
    <row r="129" spans="1:14" ht="30" customHeight="1" x14ac:dyDescent="0.45">
      <c r="A129" s="12">
        <f>_xlfn.XLOOKUP(128,OfficialTeamList[Row],OfficialTeamList[Team Number],"ERROR",0)</f>
        <v>0</v>
      </c>
      <c r="B129" s="42" t="str">
        <f>_xlfn.XLOOKUP(RobotDesignResults[[#This Row],[Team Number]],OfficialTeamList[Team Number],OfficialTeamList[Team Name],"",0,)</f>
        <v/>
      </c>
      <c r="C129" s="17"/>
      <c r="D129" s="17"/>
      <c r="E129" s="17"/>
      <c r="F129" s="17"/>
      <c r="G129" s="17"/>
      <c r="H129" s="17"/>
      <c r="I129" s="17"/>
      <c r="J129" s="17"/>
      <c r="K129" s="17"/>
      <c r="L129" s="17"/>
      <c r="M129" s="12">
        <f>SUM(RobotDesignResults[[#This Row],[Identify - Strategy]:[Communicate - Fun (CV)]])</f>
        <v>0</v>
      </c>
      <c r="N129" s="43">
        <f>IF(RobotDesignResults[[#This Row],[Team Number]]&gt;0,MIN(_xlfn.RANK.EQ(RobotDesignResults[[#This Row],[Robot Design Score]],RobotDesignResults[Robot Design Score],0),NumberOfTeams),NumberOfTeams+1)</f>
        <v>1</v>
      </c>
    </row>
    <row r="130" spans="1:14" ht="30" customHeight="1" x14ac:dyDescent="0.45">
      <c r="A130" s="12">
        <f>_xlfn.XLOOKUP(129,OfficialTeamList[Row],OfficialTeamList[Team Number],"ERROR",0)</f>
        <v>0</v>
      </c>
      <c r="B130" s="42" t="str">
        <f>_xlfn.XLOOKUP(RobotDesignResults[[#This Row],[Team Number]],OfficialTeamList[Team Number],OfficialTeamList[Team Name],"",0,)</f>
        <v/>
      </c>
      <c r="C130" s="17"/>
      <c r="D130" s="17"/>
      <c r="E130" s="17"/>
      <c r="F130" s="17"/>
      <c r="G130" s="17"/>
      <c r="H130" s="17"/>
      <c r="I130" s="17"/>
      <c r="J130" s="17"/>
      <c r="K130" s="17"/>
      <c r="L130" s="17"/>
      <c r="M130" s="12">
        <f>SUM(RobotDesignResults[[#This Row],[Identify - Strategy]:[Communicate - Fun (CV)]])</f>
        <v>0</v>
      </c>
      <c r="N130" s="43">
        <f>IF(RobotDesignResults[[#This Row],[Team Number]]&gt;0,MIN(_xlfn.RANK.EQ(RobotDesignResults[[#This Row],[Robot Design Score]],RobotDesignResults[Robot Design Score],0),NumberOfTeams),NumberOfTeams+1)</f>
        <v>1</v>
      </c>
    </row>
    <row r="131" spans="1:14" ht="30" customHeight="1" x14ac:dyDescent="0.45">
      <c r="A131" s="12">
        <f>_xlfn.XLOOKUP(130,OfficialTeamList[Row],OfficialTeamList[Team Number],"ERROR",0)</f>
        <v>0</v>
      </c>
      <c r="B131" s="42" t="str">
        <f>_xlfn.XLOOKUP(RobotDesignResults[[#This Row],[Team Number]],OfficialTeamList[Team Number],OfficialTeamList[Team Name],"",0,)</f>
        <v/>
      </c>
      <c r="C131" s="17"/>
      <c r="D131" s="17"/>
      <c r="E131" s="17"/>
      <c r="F131" s="17"/>
      <c r="G131" s="17"/>
      <c r="H131" s="17"/>
      <c r="I131" s="17"/>
      <c r="J131" s="17"/>
      <c r="K131" s="17"/>
      <c r="L131" s="17"/>
      <c r="M131" s="12">
        <f>SUM(RobotDesignResults[[#This Row],[Identify - Strategy]:[Communicate - Fun (CV)]])</f>
        <v>0</v>
      </c>
      <c r="N131" s="43">
        <f>IF(RobotDesignResults[[#This Row],[Team Number]]&gt;0,MIN(_xlfn.RANK.EQ(RobotDesignResults[[#This Row],[Robot Design Score]],RobotDesignResults[Robot Design Score],0),NumberOfTeams),NumberOfTeams+1)</f>
        <v>1</v>
      </c>
    </row>
    <row r="132" spans="1:14" ht="30" customHeight="1" x14ac:dyDescent="0.45">
      <c r="A132" s="12">
        <f>_xlfn.XLOOKUP(131,OfficialTeamList[Row],OfficialTeamList[Team Number],"ERROR",0)</f>
        <v>0</v>
      </c>
      <c r="B132" s="42" t="str">
        <f>_xlfn.XLOOKUP(RobotDesignResults[[#This Row],[Team Number]],OfficialTeamList[Team Number],OfficialTeamList[Team Name],"",0,)</f>
        <v/>
      </c>
      <c r="C132" s="17"/>
      <c r="D132" s="17"/>
      <c r="E132" s="17"/>
      <c r="F132" s="17"/>
      <c r="G132" s="17"/>
      <c r="H132" s="17"/>
      <c r="I132" s="17"/>
      <c r="J132" s="17"/>
      <c r="K132" s="17"/>
      <c r="L132" s="17"/>
      <c r="M132" s="12">
        <f>SUM(RobotDesignResults[[#This Row],[Identify - Strategy]:[Communicate - Fun (CV)]])</f>
        <v>0</v>
      </c>
      <c r="N132" s="43">
        <f>IF(RobotDesignResults[[#This Row],[Team Number]]&gt;0,MIN(_xlfn.RANK.EQ(RobotDesignResults[[#This Row],[Robot Design Score]],RobotDesignResults[Robot Design Score],0),NumberOfTeams),NumberOfTeams+1)</f>
        <v>1</v>
      </c>
    </row>
    <row r="133" spans="1:14" ht="30" customHeight="1" x14ac:dyDescent="0.45">
      <c r="A133" s="12">
        <f>_xlfn.XLOOKUP(132,OfficialTeamList[Row],OfficialTeamList[Team Number],"ERROR",0)</f>
        <v>0</v>
      </c>
      <c r="B133" s="42" t="str">
        <f>_xlfn.XLOOKUP(RobotDesignResults[[#This Row],[Team Number]],OfficialTeamList[Team Number],OfficialTeamList[Team Name],"",0,)</f>
        <v/>
      </c>
      <c r="C133" s="17"/>
      <c r="D133" s="17"/>
      <c r="E133" s="17"/>
      <c r="F133" s="17"/>
      <c r="G133" s="17"/>
      <c r="H133" s="17"/>
      <c r="I133" s="17"/>
      <c r="J133" s="17"/>
      <c r="K133" s="17"/>
      <c r="L133" s="17"/>
      <c r="M133" s="12">
        <f>SUM(RobotDesignResults[[#This Row],[Identify - Strategy]:[Communicate - Fun (CV)]])</f>
        <v>0</v>
      </c>
      <c r="N133" s="43">
        <f>IF(RobotDesignResults[[#This Row],[Team Number]]&gt;0,MIN(_xlfn.RANK.EQ(RobotDesignResults[[#This Row],[Robot Design Score]],RobotDesignResults[Robot Design Score],0),NumberOfTeams),NumberOfTeams+1)</f>
        <v>1</v>
      </c>
    </row>
    <row r="134" spans="1:14" ht="30" customHeight="1" x14ac:dyDescent="0.45">
      <c r="A134" s="12">
        <f>_xlfn.XLOOKUP(133,OfficialTeamList[Row],OfficialTeamList[Team Number],"ERROR",0)</f>
        <v>0</v>
      </c>
      <c r="B134" s="42" t="str">
        <f>_xlfn.XLOOKUP(RobotDesignResults[[#This Row],[Team Number]],OfficialTeamList[Team Number],OfficialTeamList[Team Name],"",0,)</f>
        <v/>
      </c>
      <c r="C134" s="17"/>
      <c r="D134" s="17"/>
      <c r="E134" s="17"/>
      <c r="F134" s="17"/>
      <c r="G134" s="17"/>
      <c r="H134" s="17"/>
      <c r="I134" s="17"/>
      <c r="J134" s="17"/>
      <c r="K134" s="17"/>
      <c r="L134" s="17"/>
      <c r="M134" s="12">
        <f>SUM(RobotDesignResults[[#This Row],[Identify - Strategy]:[Communicate - Fun (CV)]])</f>
        <v>0</v>
      </c>
      <c r="N134" s="43">
        <f>IF(RobotDesignResults[[#This Row],[Team Number]]&gt;0,MIN(_xlfn.RANK.EQ(RobotDesignResults[[#This Row],[Robot Design Score]],RobotDesignResults[Robot Design Score],0),NumberOfTeams),NumberOfTeams+1)</f>
        <v>1</v>
      </c>
    </row>
    <row r="135" spans="1:14" ht="30" customHeight="1" x14ac:dyDescent="0.45">
      <c r="A135" s="12">
        <f>_xlfn.XLOOKUP(134,OfficialTeamList[Row],OfficialTeamList[Team Number],"ERROR",0)</f>
        <v>0</v>
      </c>
      <c r="B135" s="42" t="str">
        <f>_xlfn.XLOOKUP(RobotDesignResults[[#This Row],[Team Number]],OfficialTeamList[Team Number],OfficialTeamList[Team Name],"",0,)</f>
        <v/>
      </c>
      <c r="C135" s="17"/>
      <c r="D135" s="17"/>
      <c r="E135" s="17"/>
      <c r="F135" s="17"/>
      <c r="G135" s="17"/>
      <c r="H135" s="17"/>
      <c r="I135" s="17"/>
      <c r="J135" s="17"/>
      <c r="K135" s="17"/>
      <c r="L135" s="17"/>
      <c r="M135" s="12">
        <f>SUM(RobotDesignResults[[#This Row],[Identify - Strategy]:[Communicate - Fun (CV)]])</f>
        <v>0</v>
      </c>
      <c r="N135" s="43">
        <f>IF(RobotDesignResults[[#This Row],[Team Number]]&gt;0,MIN(_xlfn.RANK.EQ(RobotDesignResults[[#This Row],[Robot Design Score]],RobotDesignResults[Robot Design Score],0),NumberOfTeams),NumberOfTeams+1)</f>
        <v>1</v>
      </c>
    </row>
    <row r="136" spans="1:14" ht="30" customHeight="1" x14ac:dyDescent="0.45">
      <c r="A136" s="12">
        <f>_xlfn.XLOOKUP(135,OfficialTeamList[Row],OfficialTeamList[Team Number],"ERROR",0)</f>
        <v>0</v>
      </c>
      <c r="B136" s="42" t="str">
        <f>_xlfn.XLOOKUP(RobotDesignResults[[#This Row],[Team Number]],OfficialTeamList[Team Number],OfficialTeamList[Team Name],"",0,)</f>
        <v/>
      </c>
      <c r="C136" s="17"/>
      <c r="D136" s="17"/>
      <c r="E136" s="17"/>
      <c r="F136" s="17"/>
      <c r="G136" s="17"/>
      <c r="H136" s="17"/>
      <c r="I136" s="17"/>
      <c r="J136" s="17"/>
      <c r="K136" s="17"/>
      <c r="L136" s="17"/>
      <c r="M136" s="12">
        <f>SUM(RobotDesignResults[[#This Row],[Identify - Strategy]:[Communicate - Fun (CV)]])</f>
        <v>0</v>
      </c>
      <c r="N136" s="43">
        <f>IF(RobotDesignResults[[#This Row],[Team Number]]&gt;0,MIN(_xlfn.RANK.EQ(RobotDesignResults[[#This Row],[Robot Design Score]],RobotDesignResults[Robot Design Score],0),NumberOfTeams),NumberOfTeams+1)</f>
        <v>1</v>
      </c>
    </row>
    <row r="137" spans="1:14" ht="30" customHeight="1" x14ac:dyDescent="0.45">
      <c r="A137" s="12">
        <f>_xlfn.XLOOKUP(136,OfficialTeamList[Row],OfficialTeamList[Team Number],"ERROR",0)</f>
        <v>0</v>
      </c>
      <c r="B137" s="42" t="str">
        <f>_xlfn.XLOOKUP(RobotDesignResults[[#This Row],[Team Number]],OfficialTeamList[Team Number],OfficialTeamList[Team Name],"",0,)</f>
        <v/>
      </c>
      <c r="C137" s="17"/>
      <c r="D137" s="17"/>
      <c r="E137" s="17"/>
      <c r="F137" s="17"/>
      <c r="G137" s="17"/>
      <c r="H137" s="17"/>
      <c r="I137" s="17"/>
      <c r="J137" s="17"/>
      <c r="K137" s="17"/>
      <c r="L137" s="17"/>
      <c r="M137" s="12">
        <f>SUM(RobotDesignResults[[#This Row],[Identify - Strategy]:[Communicate - Fun (CV)]])</f>
        <v>0</v>
      </c>
      <c r="N137" s="43">
        <f>IF(RobotDesignResults[[#This Row],[Team Number]]&gt;0,MIN(_xlfn.RANK.EQ(RobotDesignResults[[#This Row],[Robot Design Score]],RobotDesignResults[Robot Design Score],0),NumberOfTeams),NumberOfTeams+1)</f>
        <v>1</v>
      </c>
    </row>
    <row r="138" spans="1:14" ht="30" customHeight="1" x14ac:dyDescent="0.45">
      <c r="A138" s="12">
        <f>_xlfn.XLOOKUP(137,OfficialTeamList[Row],OfficialTeamList[Team Number],"ERROR",0)</f>
        <v>0</v>
      </c>
      <c r="B138" s="42" t="str">
        <f>_xlfn.XLOOKUP(RobotDesignResults[[#This Row],[Team Number]],OfficialTeamList[Team Number],OfficialTeamList[Team Name],"",0,)</f>
        <v/>
      </c>
      <c r="C138" s="17"/>
      <c r="D138" s="17"/>
      <c r="E138" s="17"/>
      <c r="F138" s="17"/>
      <c r="G138" s="17"/>
      <c r="H138" s="17"/>
      <c r="I138" s="17"/>
      <c r="J138" s="17"/>
      <c r="K138" s="17"/>
      <c r="L138" s="17"/>
      <c r="M138" s="12">
        <f>SUM(RobotDesignResults[[#This Row],[Identify - Strategy]:[Communicate - Fun (CV)]])</f>
        <v>0</v>
      </c>
      <c r="N138" s="43">
        <f>IF(RobotDesignResults[[#This Row],[Team Number]]&gt;0,MIN(_xlfn.RANK.EQ(RobotDesignResults[[#This Row],[Robot Design Score]],RobotDesignResults[Robot Design Score],0),NumberOfTeams),NumberOfTeams+1)</f>
        <v>1</v>
      </c>
    </row>
    <row r="139" spans="1:14" ht="30" customHeight="1" x14ac:dyDescent="0.45">
      <c r="A139" s="12">
        <f>_xlfn.XLOOKUP(138,OfficialTeamList[Row],OfficialTeamList[Team Number],"ERROR",0)</f>
        <v>0</v>
      </c>
      <c r="B139" s="42" t="str">
        <f>_xlfn.XLOOKUP(RobotDesignResults[[#This Row],[Team Number]],OfficialTeamList[Team Number],OfficialTeamList[Team Name],"",0,)</f>
        <v/>
      </c>
      <c r="C139" s="17"/>
      <c r="D139" s="17"/>
      <c r="E139" s="17"/>
      <c r="F139" s="17"/>
      <c r="G139" s="17"/>
      <c r="H139" s="17"/>
      <c r="I139" s="17"/>
      <c r="J139" s="17"/>
      <c r="K139" s="17"/>
      <c r="L139" s="17"/>
      <c r="M139" s="12">
        <f>SUM(RobotDesignResults[[#This Row],[Identify - Strategy]:[Communicate - Fun (CV)]])</f>
        <v>0</v>
      </c>
      <c r="N139" s="43">
        <f>IF(RobotDesignResults[[#This Row],[Team Number]]&gt;0,MIN(_xlfn.RANK.EQ(RobotDesignResults[[#This Row],[Robot Design Score]],RobotDesignResults[Robot Design Score],0),NumberOfTeams),NumberOfTeams+1)</f>
        <v>1</v>
      </c>
    </row>
    <row r="140" spans="1:14" ht="30" customHeight="1" x14ac:dyDescent="0.45">
      <c r="A140" s="12">
        <f>_xlfn.XLOOKUP(139,OfficialTeamList[Row],OfficialTeamList[Team Number],"ERROR",0)</f>
        <v>0</v>
      </c>
      <c r="B140" s="42" t="str">
        <f>_xlfn.XLOOKUP(RobotDesignResults[[#This Row],[Team Number]],OfficialTeamList[Team Number],OfficialTeamList[Team Name],"",0,)</f>
        <v/>
      </c>
      <c r="C140" s="17"/>
      <c r="D140" s="17"/>
      <c r="E140" s="17"/>
      <c r="F140" s="17"/>
      <c r="G140" s="17"/>
      <c r="H140" s="17"/>
      <c r="I140" s="17"/>
      <c r="J140" s="17"/>
      <c r="K140" s="17"/>
      <c r="L140" s="17"/>
      <c r="M140" s="12">
        <f>SUM(RobotDesignResults[[#This Row],[Identify - Strategy]:[Communicate - Fun (CV)]])</f>
        <v>0</v>
      </c>
      <c r="N140" s="43">
        <f>IF(RobotDesignResults[[#This Row],[Team Number]]&gt;0,MIN(_xlfn.RANK.EQ(RobotDesignResults[[#This Row],[Robot Design Score]],RobotDesignResults[Robot Design Score],0),NumberOfTeams),NumberOfTeams+1)</f>
        <v>1</v>
      </c>
    </row>
    <row r="141" spans="1:14" ht="30" customHeight="1" x14ac:dyDescent="0.45">
      <c r="A141" s="12">
        <f>_xlfn.XLOOKUP(140,OfficialTeamList[Row],OfficialTeamList[Team Number],"ERROR",0)</f>
        <v>0</v>
      </c>
      <c r="B141" s="42" t="str">
        <f>_xlfn.XLOOKUP(RobotDesignResults[[#This Row],[Team Number]],OfficialTeamList[Team Number],OfficialTeamList[Team Name],"",0,)</f>
        <v/>
      </c>
      <c r="C141" s="17"/>
      <c r="D141" s="17"/>
      <c r="E141" s="17"/>
      <c r="F141" s="17"/>
      <c r="G141" s="17"/>
      <c r="H141" s="17"/>
      <c r="I141" s="17"/>
      <c r="J141" s="17"/>
      <c r="K141" s="17"/>
      <c r="L141" s="17"/>
      <c r="M141" s="12">
        <f>SUM(RobotDesignResults[[#This Row],[Identify - Strategy]:[Communicate - Fun (CV)]])</f>
        <v>0</v>
      </c>
      <c r="N141" s="43">
        <f>IF(RobotDesignResults[[#This Row],[Team Number]]&gt;0,MIN(_xlfn.RANK.EQ(RobotDesignResults[[#This Row],[Robot Design Score]],RobotDesignResults[Robot Design Score],0),NumberOfTeams),NumberOfTeams+1)</f>
        <v>1</v>
      </c>
    </row>
    <row r="142" spans="1:14" ht="30" customHeight="1" x14ac:dyDescent="0.45">
      <c r="A142" s="12">
        <f>_xlfn.XLOOKUP(141,OfficialTeamList[Row],OfficialTeamList[Team Number],"ERROR",0)</f>
        <v>0</v>
      </c>
      <c r="B142" s="42" t="str">
        <f>_xlfn.XLOOKUP(RobotDesignResults[[#This Row],[Team Number]],OfficialTeamList[Team Number],OfficialTeamList[Team Name],"",0,)</f>
        <v/>
      </c>
      <c r="C142" s="17"/>
      <c r="D142" s="17"/>
      <c r="E142" s="17"/>
      <c r="F142" s="17"/>
      <c r="G142" s="17"/>
      <c r="H142" s="17"/>
      <c r="I142" s="17"/>
      <c r="J142" s="17"/>
      <c r="K142" s="17"/>
      <c r="L142" s="17"/>
      <c r="M142" s="12">
        <f>SUM(RobotDesignResults[[#This Row],[Identify - Strategy]:[Communicate - Fun (CV)]])</f>
        <v>0</v>
      </c>
      <c r="N142" s="43">
        <f>IF(RobotDesignResults[[#This Row],[Team Number]]&gt;0,MIN(_xlfn.RANK.EQ(RobotDesignResults[[#This Row],[Robot Design Score]],RobotDesignResults[Robot Design Score],0),NumberOfTeams),NumberOfTeams+1)</f>
        <v>1</v>
      </c>
    </row>
    <row r="143" spans="1:14" ht="30" customHeight="1" x14ac:dyDescent="0.45">
      <c r="A143" s="12">
        <f>_xlfn.XLOOKUP(142,OfficialTeamList[Row],OfficialTeamList[Team Number],"ERROR",0)</f>
        <v>0</v>
      </c>
      <c r="B143" s="42" t="str">
        <f>_xlfn.XLOOKUP(RobotDesignResults[[#This Row],[Team Number]],OfficialTeamList[Team Number],OfficialTeamList[Team Name],"",0,)</f>
        <v/>
      </c>
      <c r="C143" s="17"/>
      <c r="D143" s="17"/>
      <c r="E143" s="17"/>
      <c r="F143" s="17"/>
      <c r="G143" s="17"/>
      <c r="H143" s="17"/>
      <c r="I143" s="17"/>
      <c r="J143" s="17"/>
      <c r="K143" s="17"/>
      <c r="L143" s="17"/>
      <c r="M143" s="12">
        <f>SUM(RobotDesignResults[[#This Row],[Identify - Strategy]:[Communicate - Fun (CV)]])</f>
        <v>0</v>
      </c>
      <c r="N143" s="43">
        <f>IF(RobotDesignResults[[#This Row],[Team Number]]&gt;0,MIN(_xlfn.RANK.EQ(RobotDesignResults[[#This Row],[Robot Design Score]],RobotDesignResults[Robot Design Score],0),NumberOfTeams),NumberOfTeams+1)</f>
        <v>1</v>
      </c>
    </row>
    <row r="144" spans="1:14" ht="30" customHeight="1" x14ac:dyDescent="0.45">
      <c r="A144" s="12">
        <f>_xlfn.XLOOKUP(143,OfficialTeamList[Row],OfficialTeamList[Team Number],"ERROR",0)</f>
        <v>0</v>
      </c>
      <c r="B144" s="42" t="str">
        <f>_xlfn.XLOOKUP(RobotDesignResults[[#This Row],[Team Number]],OfficialTeamList[Team Number],OfficialTeamList[Team Name],"",0,)</f>
        <v/>
      </c>
      <c r="C144" s="17"/>
      <c r="D144" s="17"/>
      <c r="E144" s="17"/>
      <c r="F144" s="17"/>
      <c r="G144" s="17"/>
      <c r="H144" s="17"/>
      <c r="I144" s="17"/>
      <c r="J144" s="17"/>
      <c r="K144" s="17"/>
      <c r="L144" s="17"/>
      <c r="M144" s="12">
        <f>SUM(RobotDesignResults[[#This Row],[Identify - Strategy]:[Communicate - Fun (CV)]])</f>
        <v>0</v>
      </c>
      <c r="N144" s="43">
        <f>IF(RobotDesignResults[[#This Row],[Team Number]]&gt;0,MIN(_xlfn.RANK.EQ(RobotDesignResults[[#This Row],[Robot Design Score]],RobotDesignResults[Robot Design Score],0),NumberOfTeams),NumberOfTeams+1)</f>
        <v>1</v>
      </c>
    </row>
    <row r="145" spans="1:14" ht="30" customHeight="1" x14ac:dyDescent="0.45">
      <c r="A145" s="12">
        <f>_xlfn.XLOOKUP(144,OfficialTeamList[Row],OfficialTeamList[Team Number],"ERROR",0)</f>
        <v>0</v>
      </c>
      <c r="B145" s="42" t="str">
        <f>_xlfn.XLOOKUP(RobotDesignResults[[#This Row],[Team Number]],OfficialTeamList[Team Number],OfficialTeamList[Team Name],"",0,)</f>
        <v/>
      </c>
      <c r="C145" s="17"/>
      <c r="D145" s="17"/>
      <c r="E145" s="17"/>
      <c r="F145" s="17"/>
      <c r="G145" s="17"/>
      <c r="H145" s="17"/>
      <c r="I145" s="17"/>
      <c r="J145" s="17"/>
      <c r="K145" s="17"/>
      <c r="L145" s="17"/>
      <c r="M145" s="12">
        <f>SUM(RobotDesignResults[[#This Row],[Identify - Strategy]:[Communicate - Fun (CV)]])</f>
        <v>0</v>
      </c>
      <c r="N145" s="43">
        <f>IF(RobotDesignResults[[#This Row],[Team Number]]&gt;0,MIN(_xlfn.RANK.EQ(RobotDesignResults[[#This Row],[Robot Design Score]],RobotDesignResults[Robot Design Score],0),NumberOfTeams),NumberOfTeams+1)</f>
        <v>1</v>
      </c>
    </row>
    <row r="146" spans="1:14" ht="30" customHeight="1" x14ac:dyDescent="0.45">
      <c r="A146" s="12">
        <f>_xlfn.XLOOKUP(145,OfficialTeamList[Row],OfficialTeamList[Team Number],"ERROR",0)</f>
        <v>0</v>
      </c>
      <c r="B146" s="42" t="str">
        <f>_xlfn.XLOOKUP(RobotDesignResults[[#This Row],[Team Number]],OfficialTeamList[Team Number],OfficialTeamList[Team Name],"",0,)</f>
        <v/>
      </c>
      <c r="C146" s="17"/>
      <c r="D146" s="17"/>
      <c r="E146" s="17"/>
      <c r="F146" s="17"/>
      <c r="G146" s="17"/>
      <c r="H146" s="17"/>
      <c r="I146" s="17"/>
      <c r="J146" s="17"/>
      <c r="K146" s="17"/>
      <c r="L146" s="17"/>
      <c r="M146" s="12">
        <f>SUM(RobotDesignResults[[#This Row],[Identify - Strategy]:[Communicate - Fun (CV)]])</f>
        <v>0</v>
      </c>
      <c r="N146" s="43">
        <f>IF(RobotDesignResults[[#This Row],[Team Number]]&gt;0,MIN(_xlfn.RANK.EQ(RobotDesignResults[[#This Row],[Robot Design Score]],RobotDesignResults[Robot Design Score],0),NumberOfTeams),NumberOfTeams+1)</f>
        <v>1</v>
      </c>
    </row>
    <row r="147" spans="1:14" ht="30" customHeight="1" x14ac:dyDescent="0.45">
      <c r="A147" s="12">
        <f>_xlfn.XLOOKUP(146,OfficialTeamList[Row],OfficialTeamList[Team Number],"ERROR",0)</f>
        <v>0</v>
      </c>
      <c r="B147" s="42" t="str">
        <f>_xlfn.XLOOKUP(RobotDesignResults[[#This Row],[Team Number]],OfficialTeamList[Team Number],OfficialTeamList[Team Name],"",0,)</f>
        <v/>
      </c>
      <c r="C147" s="17"/>
      <c r="D147" s="17"/>
      <c r="E147" s="17"/>
      <c r="F147" s="17"/>
      <c r="G147" s="17"/>
      <c r="H147" s="17"/>
      <c r="I147" s="17"/>
      <c r="J147" s="17"/>
      <c r="K147" s="17"/>
      <c r="L147" s="17"/>
      <c r="M147" s="12">
        <f>SUM(RobotDesignResults[[#This Row],[Identify - Strategy]:[Communicate - Fun (CV)]])</f>
        <v>0</v>
      </c>
      <c r="N147" s="43">
        <f>IF(RobotDesignResults[[#This Row],[Team Number]]&gt;0,MIN(_xlfn.RANK.EQ(RobotDesignResults[[#This Row],[Robot Design Score]],RobotDesignResults[Robot Design Score],0),NumberOfTeams),NumberOfTeams+1)</f>
        <v>1</v>
      </c>
    </row>
    <row r="148" spans="1:14" ht="30" customHeight="1" x14ac:dyDescent="0.45">
      <c r="A148" s="12">
        <f>_xlfn.XLOOKUP(147,OfficialTeamList[Row],OfficialTeamList[Team Number],"ERROR",0)</f>
        <v>0</v>
      </c>
      <c r="B148" s="42" t="str">
        <f>_xlfn.XLOOKUP(RobotDesignResults[[#This Row],[Team Number]],OfficialTeamList[Team Number],OfficialTeamList[Team Name],"",0,)</f>
        <v/>
      </c>
      <c r="C148" s="17"/>
      <c r="D148" s="17"/>
      <c r="E148" s="17"/>
      <c r="F148" s="17"/>
      <c r="G148" s="17"/>
      <c r="H148" s="17"/>
      <c r="I148" s="17"/>
      <c r="J148" s="17"/>
      <c r="K148" s="17"/>
      <c r="L148" s="17"/>
      <c r="M148" s="12">
        <f>SUM(RobotDesignResults[[#This Row],[Identify - Strategy]:[Communicate - Fun (CV)]])</f>
        <v>0</v>
      </c>
      <c r="N148" s="43">
        <f>IF(RobotDesignResults[[#This Row],[Team Number]]&gt;0,MIN(_xlfn.RANK.EQ(RobotDesignResults[[#This Row],[Robot Design Score]],RobotDesignResults[Robot Design Score],0),NumberOfTeams),NumberOfTeams+1)</f>
        <v>1</v>
      </c>
    </row>
    <row r="149" spans="1:14" ht="30" customHeight="1" x14ac:dyDescent="0.45">
      <c r="A149" s="12">
        <f>_xlfn.XLOOKUP(148,OfficialTeamList[Row],OfficialTeamList[Team Number],"ERROR",0)</f>
        <v>0</v>
      </c>
      <c r="B149" s="42" t="str">
        <f>_xlfn.XLOOKUP(RobotDesignResults[[#This Row],[Team Number]],OfficialTeamList[Team Number],OfficialTeamList[Team Name],"",0,)</f>
        <v/>
      </c>
      <c r="C149" s="17"/>
      <c r="D149" s="17"/>
      <c r="E149" s="17"/>
      <c r="F149" s="17"/>
      <c r="G149" s="17"/>
      <c r="H149" s="17"/>
      <c r="I149" s="17"/>
      <c r="J149" s="17"/>
      <c r="K149" s="17"/>
      <c r="L149" s="17"/>
      <c r="M149" s="12">
        <f>SUM(RobotDesignResults[[#This Row],[Identify - Strategy]:[Communicate - Fun (CV)]])</f>
        <v>0</v>
      </c>
      <c r="N149" s="43">
        <f>IF(RobotDesignResults[[#This Row],[Team Number]]&gt;0,MIN(_xlfn.RANK.EQ(RobotDesignResults[[#This Row],[Robot Design Score]],RobotDesignResults[Robot Design Score],0),NumberOfTeams),NumberOfTeams+1)</f>
        <v>1</v>
      </c>
    </row>
    <row r="150" spans="1:14" ht="30" customHeight="1" x14ac:dyDescent="0.45">
      <c r="A150" s="12">
        <f>_xlfn.XLOOKUP(149,OfficialTeamList[Row],OfficialTeamList[Team Number],"ERROR",0)</f>
        <v>0</v>
      </c>
      <c r="B150" s="42" t="str">
        <f>_xlfn.XLOOKUP(RobotDesignResults[[#This Row],[Team Number]],OfficialTeamList[Team Number],OfficialTeamList[Team Name],"",0,)</f>
        <v/>
      </c>
      <c r="C150" s="17"/>
      <c r="D150" s="17"/>
      <c r="E150" s="17"/>
      <c r="F150" s="17"/>
      <c r="G150" s="17"/>
      <c r="H150" s="17"/>
      <c r="I150" s="17"/>
      <c r="J150" s="17"/>
      <c r="K150" s="17"/>
      <c r="L150" s="17"/>
      <c r="M150" s="12">
        <f>SUM(RobotDesignResults[[#This Row],[Identify - Strategy]:[Communicate - Fun (CV)]])</f>
        <v>0</v>
      </c>
      <c r="N150" s="43">
        <f>IF(RobotDesignResults[[#This Row],[Team Number]]&gt;0,MIN(_xlfn.RANK.EQ(RobotDesignResults[[#This Row],[Robot Design Score]],RobotDesignResults[Robot Design Score],0),NumberOfTeams),NumberOfTeams+1)</f>
        <v>1</v>
      </c>
    </row>
    <row r="151" spans="1:14" ht="30" customHeight="1" x14ac:dyDescent="0.45">
      <c r="A151" s="12">
        <f>_xlfn.XLOOKUP(150,OfficialTeamList[Row],OfficialTeamList[Team Number],"ERROR",0)</f>
        <v>0</v>
      </c>
      <c r="B151" s="42" t="str">
        <f>_xlfn.XLOOKUP(RobotDesignResults[[#This Row],[Team Number]],OfficialTeamList[Team Number],OfficialTeamList[Team Name],"",0,)</f>
        <v/>
      </c>
      <c r="C151" s="17"/>
      <c r="D151" s="17"/>
      <c r="E151" s="17"/>
      <c r="F151" s="17"/>
      <c r="G151" s="17"/>
      <c r="H151" s="17"/>
      <c r="I151" s="17"/>
      <c r="J151" s="17"/>
      <c r="K151" s="17"/>
      <c r="L151" s="17"/>
      <c r="M151" s="12">
        <f>SUM(RobotDesignResults[[#This Row],[Identify - Strategy]:[Communicate - Fun (CV)]])</f>
        <v>0</v>
      </c>
      <c r="N151" s="43">
        <f>IF(RobotDesignResults[[#This Row],[Team Number]]&gt;0,MIN(_xlfn.RANK.EQ(RobotDesignResults[[#This Row],[Robot Design Score]],RobotDesignResults[Robot Design Score],0),NumberOfTeams),NumberOfTeams+1)</f>
        <v>1</v>
      </c>
    </row>
    <row r="152" spans="1:14" ht="30" customHeight="1" x14ac:dyDescent="0.45">
      <c r="A152" s="12">
        <f>_xlfn.XLOOKUP(151,OfficialTeamList[Row],OfficialTeamList[Team Number],"ERROR",0)</f>
        <v>0</v>
      </c>
      <c r="B152" s="42" t="str">
        <f>_xlfn.XLOOKUP(RobotDesignResults[[#This Row],[Team Number]],OfficialTeamList[Team Number],OfficialTeamList[Team Name],"",0,)</f>
        <v/>
      </c>
      <c r="C152" s="17"/>
      <c r="D152" s="17"/>
      <c r="E152" s="17"/>
      <c r="F152" s="17"/>
      <c r="G152" s="17"/>
      <c r="H152" s="17"/>
      <c r="I152" s="17"/>
      <c r="J152" s="17"/>
      <c r="K152" s="17"/>
      <c r="L152" s="17"/>
      <c r="M152" s="12">
        <f>SUM(RobotDesignResults[[#This Row],[Identify - Strategy]:[Communicate - Fun (CV)]])</f>
        <v>0</v>
      </c>
      <c r="N152" s="43">
        <f>IF(RobotDesignResults[[#This Row],[Team Number]]&gt;0,MIN(_xlfn.RANK.EQ(RobotDesignResults[[#This Row],[Robot Design Score]],RobotDesignResults[Robot Design Score],0),NumberOfTeams),NumberOfTeams+1)</f>
        <v>1</v>
      </c>
    </row>
    <row r="153" spans="1:14" ht="30" customHeight="1" x14ac:dyDescent="0.45">
      <c r="A153" s="12">
        <f>_xlfn.XLOOKUP(152,OfficialTeamList[Row],OfficialTeamList[Team Number],"ERROR",0)</f>
        <v>0</v>
      </c>
      <c r="B153" s="42" t="str">
        <f>_xlfn.XLOOKUP(RobotDesignResults[[#This Row],[Team Number]],OfficialTeamList[Team Number],OfficialTeamList[Team Name],"",0,)</f>
        <v/>
      </c>
      <c r="C153" s="17"/>
      <c r="D153" s="17"/>
      <c r="E153" s="17"/>
      <c r="F153" s="17"/>
      <c r="G153" s="17"/>
      <c r="H153" s="17"/>
      <c r="I153" s="17"/>
      <c r="J153" s="17"/>
      <c r="K153" s="17"/>
      <c r="L153" s="17"/>
      <c r="M153" s="12">
        <f>SUM(RobotDesignResults[[#This Row],[Identify - Strategy]:[Communicate - Fun (CV)]])</f>
        <v>0</v>
      </c>
      <c r="N153" s="43">
        <f>IF(RobotDesignResults[[#This Row],[Team Number]]&gt;0,MIN(_xlfn.RANK.EQ(RobotDesignResults[[#This Row],[Robot Design Score]],RobotDesignResults[Robot Design Score],0),NumberOfTeams),NumberOfTeams+1)</f>
        <v>1</v>
      </c>
    </row>
    <row r="154" spans="1:14" ht="30" customHeight="1" x14ac:dyDescent="0.45">
      <c r="A154" s="12">
        <f>_xlfn.XLOOKUP(153,OfficialTeamList[Row],OfficialTeamList[Team Number],"ERROR",0)</f>
        <v>0</v>
      </c>
      <c r="B154" s="42" t="str">
        <f>_xlfn.XLOOKUP(RobotDesignResults[[#This Row],[Team Number]],OfficialTeamList[Team Number],OfficialTeamList[Team Name],"",0,)</f>
        <v/>
      </c>
      <c r="C154" s="17"/>
      <c r="D154" s="17"/>
      <c r="E154" s="17"/>
      <c r="F154" s="17"/>
      <c r="G154" s="17"/>
      <c r="H154" s="17"/>
      <c r="I154" s="17"/>
      <c r="J154" s="17"/>
      <c r="K154" s="17"/>
      <c r="L154" s="17"/>
      <c r="M154" s="12">
        <f>SUM(RobotDesignResults[[#This Row],[Identify - Strategy]:[Communicate - Fun (CV)]])</f>
        <v>0</v>
      </c>
      <c r="N154" s="43">
        <f>IF(RobotDesignResults[[#This Row],[Team Number]]&gt;0,MIN(_xlfn.RANK.EQ(RobotDesignResults[[#This Row],[Robot Design Score]],RobotDesignResults[Robot Design Score],0),NumberOfTeams),NumberOfTeams+1)</f>
        <v>1</v>
      </c>
    </row>
    <row r="155" spans="1:14" ht="30" customHeight="1" x14ac:dyDescent="0.45">
      <c r="A155" s="12">
        <f>_xlfn.XLOOKUP(154,OfficialTeamList[Row],OfficialTeamList[Team Number],"ERROR",0)</f>
        <v>0</v>
      </c>
      <c r="B155" s="42" t="str">
        <f>_xlfn.XLOOKUP(RobotDesignResults[[#This Row],[Team Number]],OfficialTeamList[Team Number],OfficialTeamList[Team Name],"",0,)</f>
        <v/>
      </c>
      <c r="C155" s="17"/>
      <c r="D155" s="17"/>
      <c r="E155" s="17"/>
      <c r="F155" s="17"/>
      <c r="G155" s="17"/>
      <c r="H155" s="17"/>
      <c r="I155" s="17"/>
      <c r="J155" s="17"/>
      <c r="K155" s="17"/>
      <c r="L155" s="17"/>
      <c r="M155" s="12">
        <f>SUM(RobotDesignResults[[#This Row],[Identify - Strategy]:[Communicate - Fun (CV)]])</f>
        <v>0</v>
      </c>
      <c r="N155" s="43">
        <f>IF(RobotDesignResults[[#This Row],[Team Number]]&gt;0,MIN(_xlfn.RANK.EQ(RobotDesignResults[[#This Row],[Robot Design Score]],RobotDesignResults[Robot Design Score],0),NumberOfTeams),NumberOfTeams+1)</f>
        <v>1</v>
      </c>
    </row>
    <row r="156" spans="1:14" ht="30" customHeight="1" x14ac:dyDescent="0.45">
      <c r="A156" s="12">
        <f>_xlfn.XLOOKUP(155,OfficialTeamList[Row],OfficialTeamList[Team Number],"ERROR",0)</f>
        <v>0</v>
      </c>
      <c r="B156" s="42" t="str">
        <f>_xlfn.XLOOKUP(RobotDesignResults[[#This Row],[Team Number]],OfficialTeamList[Team Number],OfficialTeamList[Team Name],"",0,)</f>
        <v/>
      </c>
      <c r="C156" s="17"/>
      <c r="D156" s="17"/>
      <c r="E156" s="17"/>
      <c r="F156" s="17"/>
      <c r="G156" s="17"/>
      <c r="H156" s="17"/>
      <c r="I156" s="17"/>
      <c r="J156" s="17"/>
      <c r="K156" s="17"/>
      <c r="L156" s="17"/>
      <c r="M156" s="12">
        <f>SUM(RobotDesignResults[[#This Row],[Identify - Strategy]:[Communicate - Fun (CV)]])</f>
        <v>0</v>
      </c>
      <c r="N156" s="43">
        <f>IF(RobotDesignResults[[#This Row],[Team Number]]&gt;0,MIN(_xlfn.RANK.EQ(RobotDesignResults[[#This Row],[Robot Design Score]],RobotDesignResults[Robot Design Score],0),NumberOfTeams),NumberOfTeams+1)</f>
        <v>1</v>
      </c>
    </row>
    <row r="157" spans="1:14" ht="30" customHeight="1" x14ac:dyDescent="0.45">
      <c r="A157" s="12">
        <f>_xlfn.XLOOKUP(156,OfficialTeamList[Row],OfficialTeamList[Team Number],"ERROR",0)</f>
        <v>0</v>
      </c>
      <c r="B157" s="42" t="str">
        <f>_xlfn.XLOOKUP(RobotDesignResults[[#This Row],[Team Number]],OfficialTeamList[Team Number],OfficialTeamList[Team Name],"",0,)</f>
        <v/>
      </c>
      <c r="C157" s="17"/>
      <c r="D157" s="17"/>
      <c r="E157" s="17"/>
      <c r="F157" s="17"/>
      <c r="G157" s="17"/>
      <c r="H157" s="17"/>
      <c r="I157" s="17"/>
      <c r="J157" s="17"/>
      <c r="K157" s="17"/>
      <c r="L157" s="17"/>
      <c r="M157" s="12">
        <f>SUM(RobotDesignResults[[#This Row],[Identify - Strategy]:[Communicate - Fun (CV)]])</f>
        <v>0</v>
      </c>
      <c r="N157" s="43">
        <f>IF(RobotDesignResults[[#This Row],[Team Number]]&gt;0,MIN(_xlfn.RANK.EQ(RobotDesignResults[[#This Row],[Robot Design Score]],RobotDesignResults[Robot Design Score],0),NumberOfTeams),NumberOfTeams+1)</f>
        <v>1</v>
      </c>
    </row>
    <row r="158" spans="1:14" ht="30" customHeight="1" x14ac:dyDescent="0.45">
      <c r="A158" s="12">
        <f>_xlfn.XLOOKUP(157,OfficialTeamList[Row],OfficialTeamList[Team Number],"ERROR",0)</f>
        <v>0</v>
      </c>
      <c r="B158" s="42" t="str">
        <f>_xlfn.XLOOKUP(RobotDesignResults[[#This Row],[Team Number]],OfficialTeamList[Team Number],OfficialTeamList[Team Name],"",0,)</f>
        <v/>
      </c>
      <c r="C158" s="17"/>
      <c r="D158" s="17"/>
      <c r="E158" s="17"/>
      <c r="F158" s="17"/>
      <c r="G158" s="17"/>
      <c r="H158" s="17"/>
      <c r="I158" s="17"/>
      <c r="J158" s="17"/>
      <c r="K158" s="17"/>
      <c r="L158" s="17"/>
      <c r="M158" s="12">
        <f>SUM(RobotDesignResults[[#This Row],[Identify - Strategy]:[Communicate - Fun (CV)]])</f>
        <v>0</v>
      </c>
      <c r="N158" s="43">
        <f>IF(RobotDesignResults[[#This Row],[Team Number]]&gt;0,MIN(_xlfn.RANK.EQ(RobotDesignResults[[#This Row],[Robot Design Score]],RobotDesignResults[Robot Design Score],0),NumberOfTeams),NumberOfTeams+1)</f>
        <v>1</v>
      </c>
    </row>
    <row r="159" spans="1:14" ht="30" customHeight="1" x14ac:dyDescent="0.45">
      <c r="A159" s="12">
        <f>_xlfn.XLOOKUP(158,OfficialTeamList[Row],OfficialTeamList[Team Number],"ERROR",0)</f>
        <v>0</v>
      </c>
      <c r="B159" s="42" t="str">
        <f>_xlfn.XLOOKUP(RobotDesignResults[[#This Row],[Team Number]],OfficialTeamList[Team Number],OfficialTeamList[Team Name],"",0,)</f>
        <v/>
      </c>
      <c r="C159" s="17"/>
      <c r="D159" s="17"/>
      <c r="E159" s="17"/>
      <c r="F159" s="17"/>
      <c r="G159" s="17"/>
      <c r="H159" s="17"/>
      <c r="I159" s="17"/>
      <c r="J159" s="17"/>
      <c r="K159" s="17"/>
      <c r="L159" s="17"/>
      <c r="M159" s="12">
        <f>SUM(RobotDesignResults[[#This Row],[Identify - Strategy]:[Communicate - Fun (CV)]])</f>
        <v>0</v>
      </c>
      <c r="N159" s="43">
        <f>IF(RobotDesignResults[[#This Row],[Team Number]]&gt;0,MIN(_xlfn.RANK.EQ(RobotDesignResults[[#This Row],[Robot Design Score]],RobotDesignResults[Robot Design Score],0),NumberOfTeams),NumberOfTeams+1)</f>
        <v>1</v>
      </c>
    </row>
    <row r="160" spans="1:14" ht="30" customHeight="1" x14ac:dyDescent="0.45">
      <c r="A160" s="12">
        <f>_xlfn.XLOOKUP(159,OfficialTeamList[Row],OfficialTeamList[Team Number],"ERROR",0)</f>
        <v>0</v>
      </c>
      <c r="B160" s="42" t="str">
        <f>_xlfn.XLOOKUP(RobotDesignResults[[#This Row],[Team Number]],OfficialTeamList[Team Number],OfficialTeamList[Team Name],"",0,)</f>
        <v/>
      </c>
      <c r="C160" s="17"/>
      <c r="D160" s="17"/>
      <c r="E160" s="17"/>
      <c r="F160" s="17"/>
      <c r="G160" s="17"/>
      <c r="H160" s="17"/>
      <c r="I160" s="17"/>
      <c r="J160" s="17"/>
      <c r="K160" s="17"/>
      <c r="L160" s="17"/>
      <c r="M160" s="12">
        <f>SUM(RobotDesignResults[[#This Row],[Identify - Strategy]:[Communicate - Fun (CV)]])</f>
        <v>0</v>
      </c>
      <c r="N160" s="43">
        <f>IF(RobotDesignResults[[#This Row],[Team Number]]&gt;0,MIN(_xlfn.RANK.EQ(RobotDesignResults[[#This Row],[Robot Design Score]],RobotDesignResults[Robot Design Score],0),NumberOfTeams),NumberOfTeams+1)</f>
        <v>1</v>
      </c>
    </row>
    <row r="161" spans="1:14" ht="30" customHeight="1" x14ac:dyDescent="0.45">
      <c r="A161" s="12">
        <f>_xlfn.XLOOKUP(160,OfficialTeamList[Row],OfficialTeamList[Team Number],"ERROR",0)</f>
        <v>0</v>
      </c>
      <c r="B161" s="42" t="str">
        <f>_xlfn.XLOOKUP(RobotDesignResults[[#This Row],[Team Number]],OfficialTeamList[Team Number],OfficialTeamList[Team Name],"",0,)</f>
        <v/>
      </c>
      <c r="C161" s="17"/>
      <c r="D161" s="17"/>
      <c r="E161" s="17"/>
      <c r="F161" s="17"/>
      <c r="G161" s="17"/>
      <c r="H161" s="17"/>
      <c r="I161" s="17"/>
      <c r="J161" s="17"/>
      <c r="K161" s="17"/>
      <c r="L161" s="17"/>
      <c r="M161" s="12">
        <f>SUM(RobotDesignResults[[#This Row],[Identify - Strategy]:[Communicate - Fun (CV)]])</f>
        <v>0</v>
      </c>
      <c r="N161" s="43">
        <f>IF(RobotDesignResults[[#This Row],[Team Number]]&gt;0,MIN(_xlfn.RANK.EQ(RobotDesignResults[[#This Row],[Robot Design Score]],RobotDesignResults[Robot Design Score],0),NumberOfTeams),NumberOfTeams+1)</f>
        <v>1</v>
      </c>
    </row>
    <row r="162" spans="1:14" ht="30" customHeight="1" x14ac:dyDescent="0.45">
      <c r="A162" s="12">
        <f>_xlfn.XLOOKUP(161,OfficialTeamList[Row],OfficialTeamList[Team Number],"ERROR",0)</f>
        <v>0</v>
      </c>
      <c r="B162" s="42" t="str">
        <f>_xlfn.XLOOKUP(RobotDesignResults[[#This Row],[Team Number]],OfficialTeamList[Team Number],OfficialTeamList[Team Name],"",0,)</f>
        <v/>
      </c>
      <c r="C162" s="17"/>
      <c r="D162" s="17"/>
      <c r="E162" s="17"/>
      <c r="F162" s="17"/>
      <c r="G162" s="17"/>
      <c r="H162" s="17"/>
      <c r="I162" s="17"/>
      <c r="J162" s="17"/>
      <c r="K162" s="17"/>
      <c r="L162" s="17"/>
      <c r="M162" s="12">
        <f>SUM(RobotDesignResults[[#This Row],[Identify - Strategy]:[Communicate - Fun (CV)]])</f>
        <v>0</v>
      </c>
      <c r="N162" s="43">
        <f>IF(RobotDesignResults[[#This Row],[Team Number]]&gt;0,MIN(_xlfn.RANK.EQ(RobotDesignResults[[#This Row],[Robot Design Score]],RobotDesignResults[Robot Design Score],0),NumberOfTeams),NumberOfTeams+1)</f>
        <v>1</v>
      </c>
    </row>
    <row r="163" spans="1:14" ht="30" customHeight="1" x14ac:dyDescent="0.45">
      <c r="A163" s="12">
        <f>_xlfn.XLOOKUP(162,OfficialTeamList[Row],OfficialTeamList[Team Number],"ERROR",0)</f>
        <v>0</v>
      </c>
      <c r="B163" s="42" t="str">
        <f>_xlfn.XLOOKUP(RobotDesignResults[[#This Row],[Team Number]],OfficialTeamList[Team Number],OfficialTeamList[Team Name],"",0,)</f>
        <v/>
      </c>
      <c r="C163" s="17"/>
      <c r="D163" s="17"/>
      <c r="E163" s="17"/>
      <c r="F163" s="17"/>
      <c r="G163" s="17"/>
      <c r="H163" s="17"/>
      <c r="I163" s="17"/>
      <c r="J163" s="17"/>
      <c r="K163" s="17"/>
      <c r="L163" s="17"/>
      <c r="M163" s="12">
        <f>SUM(RobotDesignResults[[#This Row],[Identify - Strategy]:[Communicate - Fun (CV)]])</f>
        <v>0</v>
      </c>
      <c r="N163" s="43">
        <f>IF(RobotDesignResults[[#This Row],[Team Number]]&gt;0,MIN(_xlfn.RANK.EQ(RobotDesignResults[[#This Row],[Robot Design Score]],RobotDesignResults[Robot Design Score],0),NumberOfTeams),NumberOfTeams+1)</f>
        <v>1</v>
      </c>
    </row>
    <row r="164" spans="1:14" ht="30" customHeight="1" x14ac:dyDescent="0.45">
      <c r="A164" s="12">
        <f>_xlfn.XLOOKUP(163,OfficialTeamList[Row],OfficialTeamList[Team Number],"ERROR",0)</f>
        <v>0</v>
      </c>
      <c r="B164" s="42" t="str">
        <f>_xlfn.XLOOKUP(RobotDesignResults[[#This Row],[Team Number]],OfficialTeamList[Team Number],OfficialTeamList[Team Name],"",0,)</f>
        <v/>
      </c>
      <c r="C164" s="17"/>
      <c r="D164" s="17"/>
      <c r="E164" s="17"/>
      <c r="F164" s="17"/>
      <c r="G164" s="17"/>
      <c r="H164" s="17"/>
      <c r="I164" s="17"/>
      <c r="J164" s="17"/>
      <c r="K164" s="17"/>
      <c r="L164" s="17"/>
      <c r="M164" s="12">
        <f>SUM(RobotDesignResults[[#This Row],[Identify - Strategy]:[Communicate - Fun (CV)]])</f>
        <v>0</v>
      </c>
      <c r="N164" s="43">
        <f>IF(RobotDesignResults[[#This Row],[Team Number]]&gt;0,MIN(_xlfn.RANK.EQ(RobotDesignResults[[#This Row],[Robot Design Score]],RobotDesignResults[Robot Design Score],0),NumberOfTeams),NumberOfTeams+1)</f>
        <v>1</v>
      </c>
    </row>
    <row r="165" spans="1:14" ht="30" customHeight="1" x14ac:dyDescent="0.45">
      <c r="A165" s="12">
        <f>_xlfn.XLOOKUP(164,OfficialTeamList[Row],OfficialTeamList[Team Number],"ERROR",0)</f>
        <v>0</v>
      </c>
      <c r="B165" s="42" t="str">
        <f>_xlfn.XLOOKUP(RobotDesignResults[[#This Row],[Team Number]],OfficialTeamList[Team Number],OfficialTeamList[Team Name],"",0,)</f>
        <v/>
      </c>
      <c r="C165" s="17"/>
      <c r="D165" s="17"/>
      <c r="E165" s="17"/>
      <c r="F165" s="17"/>
      <c r="G165" s="17"/>
      <c r="H165" s="17"/>
      <c r="I165" s="17"/>
      <c r="J165" s="17"/>
      <c r="K165" s="17"/>
      <c r="L165" s="17"/>
      <c r="M165" s="12">
        <f>SUM(RobotDesignResults[[#This Row],[Identify - Strategy]:[Communicate - Fun (CV)]])</f>
        <v>0</v>
      </c>
      <c r="N165" s="43">
        <f>IF(RobotDesignResults[[#This Row],[Team Number]]&gt;0,MIN(_xlfn.RANK.EQ(RobotDesignResults[[#This Row],[Robot Design Score]],RobotDesignResults[Robot Design Score],0),NumberOfTeams),NumberOfTeams+1)</f>
        <v>1</v>
      </c>
    </row>
    <row r="166" spans="1:14" ht="30" customHeight="1" x14ac:dyDescent="0.45">
      <c r="A166" s="12">
        <f>_xlfn.XLOOKUP(165,OfficialTeamList[Row],OfficialTeamList[Team Number],"ERROR",0)</f>
        <v>0</v>
      </c>
      <c r="B166" s="42" t="str">
        <f>_xlfn.XLOOKUP(RobotDesignResults[[#This Row],[Team Number]],OfficialTeamList[Team Number],OfficialTeamList[Team Name],"",0,)</f>
        <v/>
      </c>
      <c r="C166" s="17"/>
      <c r="D166" s="17"/>
      <c r="E166" s="17"/>
      <c r="F166" s="17"/>
      <c r="G166" s="17"/>
      <c r="H166" s="17"/>
      <c r="I166" s="17"/>
      <c r="J166" s="17"/>
      <c r="K166" s="17"/>
      <c r="L166" s="17"/>
      <c r="M166" s="12">
        <f>SUM(RobotDesignResults[[#This Row],[Identify - Strategy]:[Communicate - Fun (CV)]])</f>
        <v>0</v>
      </c>
      <c r="N166" s="43">
        <f>IF(RobotDesignResults[[#This Row],[Team Number]]&gt;0,MIN(_xlfn.RANK.EQ(RobotDesignResults[[#This Row],[Robot Design Score]],RobotDesignResults[Robot Design Score],0),NumberOfTeams),NumberOfTeams+1)</f>
        <v>1</v>
      </c>
    </row>
    <row r="167" spans="1:14" ht="30" customHeight="1" x14ac:dyDescent="0.45">
      <c r="A167" s="12">
        <f>_xlfn.XLOOKUP(166,OfficialTeamList[Row],OfficialTeamList[Team Number],"ERROR",0)</f>
        <v>0</v>
      </c>
      <c r="B167" s="42" t="str">
        <f>_xlfn.XLOOKUP(RobotDesignResults[[#This Row],[Team Number]],OfficialTeamList[Team Number],OfficialTeamList[Team Name],"",0,)</f>
        <v/>
      </c>
      <c r="C167" s="17"/>
      <c r="D167" s="17"/>
      <c r="E167" s="17"/>
      <c r="F167" s="17"/>
      <c r="G167" s="17"/>
      <c r="H167" s="17"/>
      <c r="I167" s="17"/>
      <c r="J167" s="17"/>
      <c r="K167" s="17"/>
      <c r="L167" s="17"/>
      <c r="M167" s="12">
        <f>SUM(RobotDesignResults[[#This Row],[Identify - Strategy]:[Communicate - Fun (CV)]])</f>
        <v>0</v>
      </c>
      <c r="N167" s="43">
        <f>IF(RobotDesignResults[[#This Row],[Team Number]]&gt;0,MIN(_xlfn.RANK.EQ(RobotDesignResults[[#This Row],[Robot Design Score]],RobotDesignResults[Robot Design Score],0),NumberOfTeams),NumberOfTeams+1)</f>
        <v>1</v>
      </c>
    </row>
    <row r="168" spans="1:14" ht="30" customHeight="1" x14ac:dyDescent="0.45">
      <c r="A168" s="12">
        <f>_xlfn.XLOOKUP(167,OfficialTeamList[Row],OfficialTeamList[Team Number],"ERROR",0)</f>
        <v>0</v>
      </c>
      <c r="B168" s="42" t="str">
        <f>_xlfn.XLOOKUP(RobotDesignResults[[#This Row],[Team Number]],OfficialTeamList[Team Number],OfficialTeamList[Team Name],"",0,)</f>
        <v/>
      </c>
      <c r="C168" s="17"/>
      <c r="D168" s="17"/>
      <c r="E168" s="17"/>
      <c r="F168" s="17"/>
      <c r="G168" s="17"/>
      <c r="H168" s="17"/>
      <c r="I168" s="17"/>
      <c r="J168" s="17"/>
      <c r="K168" s="17"/>
      <c r="L168" s="17"/>
      <c r="M168" s="12">
        <f>SUM(RobotDesignResults[[#This Row],[Identify - Strategy]:[Communicate - Fun (CV)]])</f>
        <v>0</v>
      </c>
      <c r="N168" s="43">
        <f>IF(RobotDesignResults[[#This Row],[Team Number]]&gt;0,MIN(_xlfn.RANK.EQ(RobotDesignResults[[#This Row],[Robot Design Score]],RobotDesignResults[Robot Design Score],0),NumberOfTeams),NumberOfTeams+1)</f>
        <v>1</v>
      </c>
    </row>
    <row r="169" spans="1:14" ht="30" customHeight="1" x14ac:dyDescent="0.45">
      <c r="A169" s="12">
        <f>_xlfn.XLOOKUP(168,OfficialTeamList[Row],OfficialTeamList[Team Number],"ERROR",0)</f>
        <v>0</v>
      </c>
      <c r="B169" s="42" t="str">
        <f>_xlfn.XLOOKUP(RobotDesignResults[[#This Row],[Team Number]],OfficialTeamList[Team Number],OfficialTeamList[Team Name],"",0,)</f>
        <v/>
      </c>
      <c r="C169" s="17"/>
      <c r="D169" s="17"/>
      <c r="E169" s="17"/>
      <c r="F169" s="17"/>
      <c r="G169" s="17"/>
      <c r="H169" s="17"/>
      <c r="I169" s="17"/>
      <c r="J169" s="17"/>
      <c r="K169" s="17"/>
      <c r="L169" s="17"/>
      <c r="M169" s="12">
        <f>SUM(RobotDesignResults[[#This Row],[Identify - Strategy]:[Communicate - Fun (CV)]])</f>
        <v>0</v>
      </c>
      <c r="N169" s="43">
        <f>IF(RobotDesignResults[[#This Row],[Team Number]]&gt;0,MIN(_xlfn.RANK.EQ(RobotDesignResults[[#This Row],[Robot Design Score]],RobotDesignResults[Robot Design Score],0),NumberOfTeams),NumberOfTeams+1)</f>
        <v>1</v>
      </c>
    </row>
    <row r="170" spans="1:14" ht="30" customHeight="1" x14ac:dyDescent="0.45">
      <c r="A170" s="12">
        <f>_xlfn.XLOOKUP(169,OfficialTeamList[Row],OfficialTeamList[Team Number],"ERROR",0)</f>
        <v>0</v>
      </c>
      <c r="B170" s="42" t="str">
        <f>_xlfn.XLOOKUP(RobotDesignResults[[#This Row],[Team Number]],OfficialTeamList[Team Number],OfficialTeamList[Team Name],"",0,)</f>
        <v/>
      </c>
      <c r="C170" s="17"/>
      <c r="D170" s="17"/>
      <c r="E170" s="17"/>
      <c r="F170" s="17"/>
      <c r="G170" s="17"/>
      <c r="H170" s="17"/>
      <c r="I170" s="17"/>
      <c r="J170" s="17"/>
      <c r="K170" s="17"/>
      <c r="L170" s="17"/>
      <c r="M170" s="12">
        <f>SUM(RobotDesignResults[[#This Row],[Identify - Strategy]:[Communicate - Fun (CV)]])</f>
        <v>0</v>
      </c>
      <c r="N170" s="43">
        <f>IF(RobotDesignResults[[#This Row],[Team Number]]&gt;0,MIN(_xlfn.RANK.EQ(RobotDesignResults[[#This Row],[Robot Design Score]],RobotDesignResults[Robot Design Score],0),NumberOfTeams),NumberOfTeams+1)</f>
        <v>1</v>
      </c>
    </row>
    <row r="171" spans="1:14" ht="30" customHeight="1" x14ac:dyDescent="0.45">
      <c r="A171" s="12">
        <f>_xlfn.XLOOKUP(170,OfficialTeamList[Row],OfficialTeamList[Team Number],"ERROR",0)</f>
        <v>0</v>
      </c>
      <c r="B171" s="42" t="str">
        <f>_xlfn.XLOOKUP(RobotDesignResults[[#This Row],[Team Number]],OfficialTeamList[Team Number],OfficialTeamList[Team Name],"",0,)</f>
        <v/>
      </c>
      <c r="C171" s="17"/>
      <c r="D171" s="17"/>
      <c r="E171" s="17"/>
      <c r="F171" s="17"/>
      <c r="G171" s="17"/>
      <c r="H171" s="17"/>
      <c r="I171" s="17"/>
      <c r="J171" s="17"/>
      <c r="K171" s="17"/>
      <c r="L171" s="17"/>
      <c r="M171" s="12">
        <f>SUM(RobotDesignResults[[#This Row],[Identify - Strategy]:[Communicate - Fun (CV)]])</f>
        <v>0</v>
      </c>
      <c r="N171" s="43">
        <f>IF(RobotDesignResults[[#This Row],[Team Number]]&gt;0,MIN(_xlfn.RANK.EQ(RobotDesignResults[[#This Row],[Robot Design Score]],RobotDesignResults[Robot Design Score],0),NumberOfTeams),NumberOfTeams+1)</f>
        <v>1</v>
      </c>
    </row>
    <row r="172" spans="1:14" ht="30" customHeight="1" x14ac:dyDescent="0.45">
      <c r="A172" s="12">
        <f>_xlfn.XLOOKUP(171,OfficialTeamList[Row],OfficialTeamList[Team Number],"ERROR",0)</f>
        <v>0</v>
      </c>
      <c r="B172" s="42" t="str">
        <f>_xlfn.XLOOKUP(RobotDesignResults[[#This Row],[Team Number]],OfficialTeamList[Team Number],OfficialTeamList[Team Name],"",0,)</f>
        <v/>
      </c>
      <c r="C172" s="17"/>
      <c r="D172" s="17"/>
      <c r="E172" s="17"/>
      <c r="F172" s="17"/>
      <c r="G172" s="17"/>
      <c r="H172" s="17"/>
      <c r="I172" s="17"/>
      <c r="J172" s="17"/>
      <c r="K172" s="17"/>
      <c r="L172" s="17"/>
      <c r="M172" s="12">
        <f>SUM(RobotDesignResults[[#This Row],[Identify - Strategy]:[Communicate - Fun (CV)]])</f>
        <v>0</v>
      </c>
      <c r="N172" s="43">
        <f>IF(RobotDesignResults[[#This Row],[Team Number]]&gt;0,MIN(_xlfn.RANK.EQ(RobotDesignResults[[#This Row],[Robot Design Score]],RobotDesignResults[Robot Design Score],0),NumberOfTeams),NumberOfTeams+1)</f>
        <v>1</v>
      </c>
    </row>
    <row r="173" spans="1:14" ht="30" customHeight="1" x14ac:dyDescent="0.45">
      <c r="A173" s="12">
        <f>_xlfn.XLOOKUP(172,OfficialTeamList[Row],OfficialTeamList[Team Number],"ERROR",0)</f>
        <v>0</v>
      </c>
      <c r="B173" s="42" t="str">
        <f>_xlfn.XLOOKUP(RobotDesignResults[[#This Row],[Team Number]],OfficialTeamList[Team Number],OfficialTeamList[Team Name],"",0,)</f>
        <v/>
      </c>
      <c r="C173" s="17"/>
      <c r="D173" s="17"/>
      <c r="E173" s="17"/>
      <c r="F173" s="17"/>
      <c r="G173" s="17"/>
      <c r="H173" s="17"/>
      <c r="I173" s="17"/>
      <c r="J173" s="17"/>
      <c r="K173" s="17"/>
      <c r="L173" s="17"/>
      <c r="M173" s="12">
        <f>SUM(RobotDesignResults[[#This Row],[Identify - Strategy]:[Communicate - Fun (CV)]])</f>
        <v>0</v>
      </c>
      <c r="N173" s="43">
        <f>IF(RobotDesignResults[[#This Row],[Team Number]]&gt;0,MIN(_xlfn.RANK.EQ(RobotDesignResults[[#This Row],[Robot Design Score]],RobotDesignResults[Robot Design Score],0),NumberOfTeams),NumberOfTeams+1)</f>
        <v>1</v>
      </c>
    </row>
    <row r="174" spans="1:14" ht="30" customHeight="1" x14ac:dyDescent="0.45">
      <c r="A174" s="12">
        <f>_xlfn.XLOOKUP(173,OfficialTeamList[Row],OfficialTeamList[Team Number],"ERROR",0)</f>
        <v>0</v>
      </c>
      <c r="B174" s="42" t="str">
        <f>_xlfn.XLOOKUP(RobotDesignResults[[#This Row],[Team Number]],OfficialTeamList[Team Number],OfficialTeamList[Team Name],"",0,)</f>
        <v/>
      </c>
      <c r="C174" s="17"/>
      <c r="D174" s="17"/>
      <c r="E174" s="17"/>
      <c r="F174" s="17"/>
      <c r="G174" s="17"/>
      <c r="H174" s="17"/>
      <c r="I174" s="17"/>
      <c r="J174" s="17"/>
      <c r="K174" s="17"/>
      <c r="L174" s="17"/>
      <c r="M174" s="12">
        <f>SUM(RobotDesignResults[[#This Row],[Identify - Strategy]:[Communicate - Fun (CV)]])</f>
        <v>0</v>
      </c>
      <c r="N174" s="43">
        <f>IF(RobotDesignResults[[#This Row],[Team Number]]&gt;0,MIN(_xlfn.RANK.EQ(RobotDesignResults[[#This Row],[Robot Design Score]],RobotDesignResults[Robot Design Score],0),NumberOfTeams),NumberOfTeams+1)</f>
        <v>1</v>
      </c>
    </row>
    <row r="175" spans="1:14" ht="30" customHeight="1" x14ac:dyDescent="0.45">
      <c r="A175" s="12">
        <f>_xlfn.XLOOKUP(174,OfficialTeamList[Row],OfficialTeamList[Team Number],"ERROR",0)</f>
        <v>0</v>
      </c>
      <c r="B175" s="42" t="str">
        <f>_xlfn.XLOOKUP(RobotDesignResults[[#This Row],[Team Number]],OfficialTeamList[Team Number],OfficialTeamList[Team Name],"",0,)</f>
        <v/>
      </c>
      <c r="C175" s="17"/>
      <c r="D175" s="17"/>
      <c r="E175" s="17"/>
      <c r="F175" s="17"/>
      <c r="G175" s="17"/>
      <c r="H175" s="17"/>
      <c r="I175" s="17"/>
      <c r="J175" s="17"/>
      <c r="K175" s="17"/>
      <c r="L175" s="17"/>
      <c r="M175" s="12">
        <f>SUM(RobotDesignResults[[#This Row],[Identify - Strategy]:[Communicate - Fun (CV)]])</f>
        <v>0</v>
      </c>
      <c r="N175" s="43">
        <f>IF(RobotDesignResults[[#This Row],[Team Number]]&gt;0,MIN(_xlfn.RANK.EQ(RobotDesignResults[[#This Row],[Robot Design Score]],RobotDesignResults[Robot Design Score],0),NumberOfTeams),NumberOfTeams+1)</f>
        <v>1</v>
      </c>
    </row>
    <row r="176" spans="1:14" ht="30" customHeight="1" x14ac:dyDescent="0.45">
      <c r="A176" s="12">
        <f>_xlfn.XLOOKUP(175,OfficialTeamList[Row],OfficialTeamList[Team Number],"ERROR",0)</f>
        <v>0</v>
      </c>
      <c r="B176" s="42" t="str">
        <f>_xlfn.XLOOKUP(RobotDesignResults[[#This Row],[Team Number]],OfficialTeamList[Team Number],OfficialTeamList[Team Name],"",0,)</f>
        <v/>
      </c>
      <c r="C176" s="17"/>
      <c r="D176" s="17"/>
      <c r="E176" s="17"/>
      <c r="F176" s="17"/>
      <c r="G176" s="17"/>
      <c r="H176" s="17"/>
      <c r="I176" s="17"/>
      <c r="J176" s="17"/>
      <c r="K176" s="17"/>
      <c r="L176" s="17"/>
      <c r="M176" s="12">
        <f>SUM(RobotDesignResults[[#This Row],[Identify - Strategy]:[Communicate - Fun (CV)]])</f>
        <v>0</v>
      </c>
      <c r="N176" s="43">
        <f>IF(RobotDesignResults[[#This Row],[Team Number]]&gt;0,MIN(_xlfn.RANK.EQ(RobotDesignResults[[#This Row],[Robot Design Score]],RobotDesignResults[Robot Design Score],0),NumberOfTeams),NumberOfTeams+1)</f>
        <v>1</v>
      </c>
    </row>
    <row r="177" spans="1:14" ht="30" customHeight="1" x14ac:dyDescent="0.45">
      <c r="A177" s="12">
        <f>_xlfn.XLOOKUP(176,OfficialTeamList[Row],OfficialTeamList[Team Number],"ERROR",0)</f>
        <v>0</v>
      </c>
      <c r="B177" s="42" t="str">
        <f>_xlfn.XLOOKUP(RobotDesignResults[[#This Row],[Team Number]],OfficialTeamList[Team Number],OfficialTeamList[Team Name],"",0,)</f>
        <v/>
      </c>
      <c r="C177" s="17"/>
      <c r="D177" s="17"/>
      <c r="E177" s="17"/>
      <c r="F177" s="17"/>
      <c r="G177" s="17"/>
      <c r="H177" s="17"/>
      <c r="I177" s="17"/>
      <c r="J177" s="17"/>
      <c r="K177" s="17"/>
      <c r="L177" s="17"/>
      <c r="M177" s="12">
        <f>SUM(RobotDesignResults[[#This Row],[Identify - Strategy]:[Communicate - Fun (CV)]])</f>
        <v>0</v>
      </c>
      <c r="N177" s="43">
        <f>IF(RobotDesignResults[[#This Row],[Team Number]]&gt;0,MIN(_xlfn.RANK.EQ(RobotDesignResults[[#This Row],[Robot Design Score]],RobotDesignResults[Robot Design Score],0),NumberOfTeams),NumberOfTeams+1)</f>
        <v>1</v>
      </c>
    </row>
    <row r="178" spans="1:14" ht="30" customHeight="1" x14ac:dyDescent="0.45">
      <c r="A178" s="12">
        <f>_xlfn.XLOOKUP(177,OfficialTeamList[Row],OfficialTeamList[Team Number],"ERROR",0)</f>
        <v>0</v>
      </c>
      <c r="B178" s="42" t="str">
        <f>_xlfn.XLOOKUP(RobotDesignResults[[#This Row],[Team Number]],OfficialTeamList[Team Number],OfficialTeamList[Team Name],"",0,)</f>
        <v/>
      </c>
      <c r="C178" s="17"/>
      <c r="D178" s="17"/>
      <c r="E178" s="17"/>
      <c r="F178" s="17"/>
      <c r="G178" s="17"/>
      <c r="H178" s="17"/>
      <c r="I178" s="17"/>
      <c r="J178" s="17"/>
      <c r="K178" s="17"/>
      <c r="L178" s="17"/>
      <c r="M178" s="12">
        <f>SUM(RobotDesignResults[[#This Row],[Identify - Strategy]:[Communicate - Fun (CV)]])</f>
        <v>0</v>
      </c>
      <c r="N178" s="43">
        <f>IF(RobotDesignResults[[#This Row],[Team Number]]&gt;0,MIN(_xlfn.RANK.EQ(RobotDesignResults[[#This Row],[Robot Design Score]],RobotDesignResults[Robot Design Score],0),NumberOfTeams),NumberOfTeams+1)</f>
        <v>1</v>
      </c>
    </row>
    <row r="179" spans="1:14" ht="30" customHeight="1" x14ac:dyDescent="0.45">
      <c r="A179" s="12">
        <f>_xlfn.XLOOKUP(178,OfficialTeamList[Row],OfficialTeamList[Team Number],"ERROR",0)</f>
        <v>0</v>
      </c>
      <c r="B179" s="42" t="str">
        <f>_xlfn.XLOOKUP(RobotDesignResults[[#This Row],[Team Number]],OfficialTeamList[Team Number],OfficialTeamList[Team Name],"",0,)</f>
        <v/>
      </c>
      <c r="C179" s="17"/>
      <c r="D179" s="17"/>
      <c r="E179" s="17"/>
      <c r="F179" s="17"/>
      <c r="G179" s="17"/>
      <c r="H179" s="17"/>
      <c r="I179" s="17"/>
      <c r="J179" s="17"/>
      <c r="K179" s="17"/>
      <c r="L179" s="17"/>
      <c r="M179" s="12">
        <f>SUM(RobotDesignResults[[#This Row],[Identify - Strategy]:[Communicate - Fun (CV)]])</f>
        <v>0</v>
      </c>
      <c r="N179" s="43">
        <f>IF(RobotDesignResults[[#This Row],[Team Number]]&gt;0,MIN(_xlfn.RANK.EQ(RobotDesignResults[[#This Row],[Robot Design Score]],RobotDesignResults[Robot Design Score],0),NumberOfTeams),NumberOfTeams+1)</f>
        <v>1</v>
      </c>
    </row>
    <row r="180" spans="1:14" ht="30" customHeight="1" x14ac:dyDescent="0.45">
      <c r="A180" s="12">
        <f>_xlfn.XLOOKUP(179,OfficialTeamList[Row],OfficialTeamList[Team Number],"ERROR",0)</f>
        <v>0</v>
      </c>
      <c r="B180" s="42" t="str">
        <f>_xlfn.XLOOKUP(RobotDesignResults[[#This Row],[Team Number]],OfficialTeamList[Team Number],OfficialTeamList[Team Name],"",0,)</f>
        <v/>
      </c>
      <c r="C180" s="17"/>
      <c r="D180" s="17"/>
      <c r="E180" s="17"/>
      <c r="F180" s="17"/>
      <c r="G180" s="17"/>
      <c r="H180" s="17"/>
      <c r="I180" s="17"/>
      <c r="J180" s="17"/>
      <c r="K180" s="17"/>
      <c r="L180" s="17"/>
      <c r="M180" s="12">
        <f>SUM(RobotDesignResults[[#This Row],[Identify - Strategy]:[Communicate - Fun (CV)]])</f>
        <v>0</v>
      </c>
      <c r="N180" s="43">
        <f>IF(RobotDesignResults[[#This Row],[Team Number]]&gt;0,MIN(_xlfn.RANK.EQ(RobotDesignResults[[#This Row],[Robot Design Score]],RobotDesignResults[Robot Design Score],0),NumberOfTeams),NumberOfTeams+1)</f>
        <v>1</v>
      </c>
    </row>
    <row r="181" spans="1:14" ht="30" customHeight="1" x14ac:dyDescent="0.45">
      <c r="A181" s="12">
        <f>_xlfn.XLOOKUP(180,OfficialTeamList[Row],OfficialTeamList[Team Number],"ERROR",0)</f>
        <v>0</v>
      </c>
      <c r="B181" s="42" t="str">
        <f>_xlfn.XLOOKUP(RobotDesignResults[[#This Row],[Team Number]],OfficialTeamList[Team Number],OfficialTeamList[Team Name],"",0,)</f>
        <v/>
      </c>
      <c r="C181" s="17"/>
      <c r="D181" s="17"/>
      <c r="E181" s="17"/>
      <c r="F181" s="17"/>
      <c r="G181" s="17"/>
      <c r="H181" s="17"/>
      <c r="I181" s="17"/>
      <c r="J181" s="17"/>
      <c r="K181" s="17"/>
      <c r="L181" s="17"/>
      <c r="M181" s="12">
        <f>SUM(RobotDesignResults[[#This Row],[Identify - Strategy]:[Communicate - Fun (CV)]])</f>
        <v>0</v>
      </c>
      <c r="N181" s="43">
        <f>IF(RobotDesignResults[[#This Row],[Team Number]]&gt;0,MIN(_xlfn.RANK.EQ(RobotDesignResults[[#This Row],[Robot Design Score]],RobotDesignResults[Robot Design Score],0),NumberOfTeams),NumberOfTeams+1)</f>
        <v>1</v>
      </c>
    </row>
    <row r="182" spans="1:14" ht="30" customHeight="1" x14ac:dyDescent="0.45">
      <c r="A182" s="12">
        <f>_xlfn.XLOOKUP(181,OfficialTeamList[Row],OfficialTeamList[Team Number],"ERROR",0)</f>
        <v>0</v>
      </c>
      <c r="B182" s="42" t="str">
        <f>_xlfn.XLOOKUP(RobotDesignResults[[#This Row],[Team Number]],OfficialTeamList[Team Number],OfficialTeamList[Team Name],"",0,)</f>
        <v/>
      </c>
      <c r="C182" s="17"/>
      <c r="D182" s="17"/>
      <c r="E182" s="17"/>
      <c r="F182" s="17"/>
      <c r="G182" s="17"/>
      <c r="H182" s="17"/>
      <c r="I182" s="17"/>
      <c r="J182" s="17"/>
      <c r="K182" s="17"/>
      <c r="L182" s="17"/>
      <c r="M182" s="12">
        <f>SUM(RobotDesignResults[[#This Row],[Identify - Strategy]:[Communicate - Fun (CV)]])</f>
        <v>0</v>
      </c>
      <c r="N182" s="43">
        <f>IF(RobotDesignResults[[#This Row],[Team Number]]&gt;0,MIN(_xlfn.RANK.EQ(RobotDesignResults[[#This Row],[Robot Design Score]],RobotDesignResults[Robot Design Score],0),NumberOfTeams),NumberOfTeams+1)</f>
        <v>1</v>
      </c>
    </row>
    <row r="183" spans="1:14" ht="30" customHeight="1" x14ac:dyDescent="0.45">
      <c r="A183" s="12">
        <f>_xlfn.XLOOKUP(182,OfficialTeamList[Row],OfficialTeamList[Team Number],"ERROR",0)</f>
        <v>0</v>
      </c>
      <c r="B183" s="42" t="str">
        <f>_xlfn.XLOOKUP(RobotDesignResults[[#This Row],[Team Number]],OfficialTeamList[Team Number],OfficialTeamList[Team Name],"",0,)</f>
        <v/>
      </c>
      <c r="C183" s="17"/>
      <c r="D183" s="17"/>
      <c r="E183" s="17"/>
      <c r="F183" s="17"/>
      <c r="G183" s="17"/>
      <c r="H183" s="17"/>
      <c r="I183" s="17"/>
      <c r="J183" s="17"/>
      <c r="K183" s="17"/>
      <c r="L183" s="17"/>
      <c r="M183" s="12">
        <f>SUM(RobotDesignResults[[#This Row],[Identify - Strategy]:[Communicate - Fun (CV)]])</f>
        <v>0</v>
      </c>
      <c r="N183" s="43">
        <f>IF(RobotDesignResults[[#This Row],[Team Number]]&gt;0,MIN(_xlfn.RANK.EQ(RobotDesignResults[[#This Row],[Robot Design Score]],RobotDesignResults[Robot Design Score],0),NumberOfTeams),NumberOfTeams+1)</f>
        <v>1</v>
      </c>
    </row>
    <row r="184" spans="1:14" ht="30" customHeight="1" x14ac:dyDescent="0.45">
      <c r="A184" s="12">
        <f>_xlfn.XLOOKUP(183,OfficialTeamList[Row],OfficialTeamList[Team Number],"ERROR",0)</f>
        <v>0</v>
      </c>
      <c r="B184" s="42" t="str">
        <f>_xlfn.XLOOKUP(RobotDesignResults[[#This Row],[Team Number]],OfficialTeamList[Team Number],OfficialTeamList[Team Name],"",0,)</f>
        <v/>
      </c>
      <c r="C184" s="17"/>
      <c r="D184" s="17"/>
      <c r="E184" s="17"/>
      <c r="F184" s="17"/>
      <c r="G184" s="17"/>
      <c r="H184" s="17"/>
      <c r="I184" s="17"/>
      <c r="J184" s="17"/>
      <c r="K184" s="17"/>
      <c r="L184" s="17"/>
      <c r="M184" s="12">
        <f>SUM(RobotDesignResults[[#This Row],[Identify - Strategy]:[Communicate - Fun (CV)]])</f>
        <v>0</v>
      </c>
      <c r="N184" s="43">
        <f>IF(RobotDesignResults[[#This Row],[Team Number]]&gt;0,MIN(_xlfn.RANK.EQ(RobotDesignResults[[#This Row],[Robot Design Score]],RobotDesignResults[Robot Design Score],0),NumberOfTeams),NumberOfTeams+1)</f>
        <v>1</v>
      </c>
    </row>
    <row r="185" spans="1:14" ht="30" customHeight="1" x14ac:dyDescent="0.45">
      <c r="A185" s="12">
        <f>_xlfn.XLOOKUP(184,OfficialTeamList[Row],OfficialTeamList[Team Number],"ERROR",0)</f>
        <v>0</v>
      </c>
      <c r="B185" s="42" t="str">
        <f>_xlfn.XLOOKUP(RobotDesignResults[[#This Row],[Team Number]],OfficialTeamList[Team Number],OfficialTeamList[Team Name],"",0,)</f>
        <v/>
      </c>
      <c r="C185" s="17"/>
      <c r="D185" s="17"/>
      <c r="E185" s="17"/>
      <c r="F185" s="17"/>
      <c r="G185" s="17"/>
      <c r="H185" s="17"/>
      <c r="I185" s="17"/>
      <c r="J185" s="17"/>
      <c r="K185" s="17"/>
      <c r="L185" s="17"/>
      <c r="M185" s="12">
        <f>SUM(RobotDesignResults[[#This Row],[Identify - Strategy]:[Communicate - Fun (CV)]])</f>
        <v>0</v>
      </c>
      <c r="N185" s="43">
        <f>IF(RobotDesignResults[[#This Row],[Team Number]]&gt;0,MIN(_xlfn.RANK.EQ(RobotDesignResults[[#This Row],[Robot Design Score]],RobotDesignResults[Robot Design Score],0),NumberOfTeams),NumberOfTeams+1)</f>
        <v>1</v>
      </c>
    </row>
    <row r="186" spans="1:14" ht="30" customHeight="1" x14ac:dyDescent="0.45">
      <c r="A186" s="12">
        <f>_xlfn.XLOOKUP(185,OfficialTeamList[Row],OfficialTeamList[Team Number],"ERROR",0)</f>
        <v>0</v>
      </c>
      <c r="B186" s="42" t="str">
        <f>_xlfn.XLOOKUP(RobotDesignResults[[#This Row],[Team Number]],OfficialTeamList[Team Number],OfficialTeamList[Team Name],"",0,)</f>
        <v/>
      </c>
      <c r="C186" s="17"/>
      <c r="D186" s="17"/>
      <c r="E186" s="17"/>
      <c r="F186" s="17"/>
      <c r="G186" s="17"/>
      <c r="H186" s="17"/>
      <c r="I186" s="17"/>
      <c r="J186" s="17"/>
      <c r="K186" s="17"/>
      <c r="L186" s="17"/>
      <c r="M186" s="12">
        <f>SUM(RobotDesignResults[[#This Row],[Identify - Strategy]:[Communicate - Fun (CV)]])</f>
        <v>0</v>
      </c>
      <c r="N186" s="43">
        <f>IF(RobotDesignResults[[#This Row],[Team Number]]&gt;0,MIN(_xlfn.RANK.EQ(RobotDesignResults[[#This Row],[Robot Design Score]],RobotDesignResults[Robot Design Score],0),NumberOfTeams),NumberOfTeams+1)</f>
        <v>1</v>
      </c>
    </row>
    <row r="187" spans="1:14" ht="30" customHeight="1" x14ac:dyDescent="0.45">
      <c r="A187" s="12">
        <f>_xlfn.XLOOKUP(186,OfficialTeamList[Row],OfficialTeamList[Team Number],"ERROR",0)</f>
        <v>0</v>
      </c>
      <c r="B187" s="42" t="str">
        <f>_xlfn.XLOOKUP(RobotDesignResults[[#This Row],[Team Number]],OfficialTeamList[Team Number],OfficialTeamList[Team Name],"",0,)</f>
        <v/>
      </c>
      <c r="C187" s="17"/>
      <c r="D187" s="17"/>
      <c r="E187" s="17"/>
      <c r="F187" s="17"/>
      <c r="G187" s="17"/>
      <c r="H187" s="17"/>
      <c r="I187" s="17"/>
      <c r="J187" s="17"/>
      <c r="K187" s="17"/>
      <c r="L187" s="17"/>
      <c r="M187" s="12">
        <f>SUM(RobotDesignResults[[#This Row],[Identify - Strategy]:[Communicate - Fun (CV)]])</f>
        <v>0</v>
      </c>
      <c r="N187" s="43">
        <f>IF(RobotDesignResults[[#This Row],[Team Number]]&gt;0,MIN(_xlfn.RANK.EQ(RobotDesignResults[[#This Row],[Robot Design Score]],RobotDesignResults[Robot Design Score],0),NumberOfTeams),NumberOfTeams+1)</f>
        <v>1</v>
      </c>
    </row>
    <row r="188" spans="1:14" ht="30" customHeight="1" x14ac:dyDescent="0.45">
      <c r="A188" s="12">
        <f>_xlfn.XLOOKUP(187,OfficialTeamList[Row],OfficialTeamList[Team Number],"ERROR",0)</f>
        <v>0</v>
      </c>
      <c r="B188" s="42" t="str">
        <f>_xlfn.XLOOKUP(RobotDesignResults[[#This Row],[Team Number]],OfficialTeamList[Team Number],OfficialTeamList[Team Name],"",0,)</f>
        <v/>
      </c>
      <c r="C188" s="17"/>
      <c r="D188" s="17"/>
      <c r="E188" s="17"/>
      <c r="F188" s="17"/>
      <c r="G188" s="17"/>
      <c r="H188" s="17"/>
      <c r="I188" s="17"/>
      <c r="J188" s="17"/>
      <c r="K188" s="17"/>
      <c r="L188" s="17"/>
      <c r="M188" s="12">
        <f>SUM(RobotDesignResults[[#This Row],[Identify - Strategy]:[Communicate - Fun (CV)]])</f>
        <v>0</v>
      </c>
      <c r="N188" s="43">
        <f>IF(RobotDesignResults[[#This Row],[Team Number]]&gt;0,MIN(_xlfn.RANK.EQ(RobotDesignResults[[#This Row],[Robot Design Score]],RobotDesignResults[Robot Design Score],0),NumberOfTeams),NumberOfTeams+1)</f>
        <v>1</v>
      </c>
    </row>
    <row r="189" spans="1:14" ht="30" customHeight="1" x14ac:dyDescent="0.45">
      <c r="A189" s="12">
        <f>_xlfn.XLOOKUP(188,OfficialTeamList[Row],OfficialTeamList[Team Number],"ERROR",0)</f>
        <v>0</v>
      </c>
      <c r="B189" s="42" t="str">
        <f>_xlfn.XLOOKUP(RobotDesignResults[[#This Row],[Team Number]],OfficialTeamList[Team Number],OfficialTeamList[Team Name],"",0,)</f>
        <v/>
      </c>
      <c r="C189" s="17"/>
      <c r="D189" s="17"/>
      <c r="E189" s="17"/>
      <c r="F189" s="17"/>
      <c r="G189" s="17"/>
      <c r="H189" s="17"/>
      <c r="I189" s="17"/>
      <c r="J189" s="17"/>
      <c r="K189" s="17"/>
      <c r="L189" s="17"/>
      <c r="M189" s="12">
        <f>SUM(RobotDesignResults[[#This Row],[Identify - Strategy]:[Communicate - Fun (CV)]])</f>
        <v>0</v>
      </c>
      <c r="N189" s="43">
        <f>IF(RobotDesignResults[[#This Row],[Team Number]]&gt;0,MIN(_xlfn.RANK.EQ(RobotDesignResults[[#This Row],[Robot Design Score]],RobotDesignResults[Robot Design Score],0),NumberOfTeams),NumberOfTeams+1)</f>
        <v>1</v>
      </c>
    </row>
    <row r="190" spans="1:14" ht="30" customHeight="1" x14ac:dyDescent="0.45">
      <c r="A190" s="12">
        <f>_xlfn.XLOOKUP(189,OfficialTeamList[Row],OfficialTeamList[Team Number],"ERROR",0)</f>
        <v>0</v>
      </c>
      <c r="B190" s="42" t="str">
        <f>_xlfn.XLOOKUP(RobotDesignResults[[#This Row],[Team Number]],OfficialTeamList[Team Number],OfficialTeamList[Team Name],"",0,)</f>
        <v/>
      </c>
      <c r="C190" s="17"/>
      <c r="D190" s="17"/>
      <c r="E190" s="17"/>
      <c r="F190" s="17"/>
      <c r="G190" s="17"/>
      <c r="H190" s="17"/>
      <c r="I190" s="17"/>
      <c r="J190" s="17"/>
      <c r="K190" s="17"/>
      <c r="L190" s="17"/>
      <c r="M190" s="12">
        <f>SUM(RobotDesignResults[[#This Row],[Identify - Strategy]:[Communicate - Fun (CV)]])</f>
        <v>0</v>
      </c>
      <c r="N190" s="43">
        <f>IF(RobotDesignResults[[#This Row],[Team Number]]&gt;0,MIN(_xlfn.RANK.EQ(RobotDesignResults[[#This Row],[Robot Design Score]],RobotDesignResults[Robot Design Score],0),NumberOfTeams),NumberOfTeams+1)</f>
        <v>1</v>
      </c>
    </row>
    <row r="191" spans="1:14" ht="30" customHeight="1" x14ac:dyDescent="0.45">
      <c r="A191" s="12">
        <f>_xlfn.XLOOKUP(190,OfficialTeamList[Row],OfficialTeamList[Team Number],"ERROR",0)</f>
        <v>0</v>
      </c>
      <c r="B191" s="42" t="str">
        <f>_xlfn.XLOOKUP(RobotDesignResults[[#This Row],[Team Number]],OfficialTeamList[Team Number],OfficialTeamList[Team Name],"",0,)</f>
        <v/>
      </c>
      <c r="C191" s="17"/>
      <c r="D191" s="17"/>
      <c r="E191" s="17"/>
      <c r="F191" s="17"/>
      <c r="G191" s="17"/>
      <c r="H191" s="17"/>
      <c r="I191" s="17"/>
      <c r="J191" s="17"/>
      <c r="K191" s="17"/>
      <c r="L191" s="17"/>
      <c r="M191" s="12">
        <f>SUM(RobotDesignResults[[#This Row],[Identify - Strategy]:[Communicate - Fun (CV)]])</f>
        <v>0</v>
      </c>
      <c r="N191" s="43">
        <f>IF(RobotDesignResults[[#This Row],[Team Number]]&gt;0,MIN(_xlfn.RANK.EQ(RobotDesignResults[[#This Row],[Robot Design Score]],RobotDesignResults[Robot Design Score],0),NumberOfTeams),NumberOfTeams+1)</f>
        <v>1</v>
      </c>
    </row>
    <row r="192" spans="1:14" ht="30" customHeight="1" x14ac:dyDescent="0.45">
      <c r="A192" s="12">
        <f>_xlfn.XLOOKUP(191,OfficialTeamList[Row],OfficialTeamList[Team Number],"ERROR",0)</f>
        <v>0</v>
      </c>
      <c r="B192" s="42" t="str">
        <f>_xlfn.XLOOKUP(RobotDesignResults[[#This Row],[Team Number]],OfficialTeamList[Team Number],OfficialTeamList[Team Name],"",0,)</f>
        <v/>
      </c>
      <c r="C192" s="17"/>
      <c r="D192" s="17"/>
      <c r="E192" s="17"/>
      <c r="F192" s="17"/>
      <c r="G192" s="17"/>
      <c r="H192" s="17"/>
      <c r="I192" s="17"/>
      <c r="J192" s="17"/>
      <c r="K192" s="17"/>
      <c r="L192" s="17"/>
      <c r="M192" s="12">
        <f>SUM(RobotDesignResults[[#This Row],[Identify - Strategy]:[Communicate - Fun (CV)]])</f>
        <v>0</v>
      </c>
      <c r="N192" s="43">
        <f>IF(RobotDesignResults[[#This Row],[Team Number]]&gt;0,MIN(_xlfn.RANK.EQ(RobotDesignResults[[#This Row],[Robot Design Score]],RobotDesignResults[Robot Design Score],0),NumberOfTeams),NumberOfTeams+1)</f>
        <v>1</v>
      </c>
    </row>
    <row r="193" spans="1:14" ht="30" customHeight="1" x14ac:dyDescent="0.45">
      <c r="A193" s="12">
        <f>_xlfn.XLOOKUP(192,OfficialTeamList[Row],OfficialTeamList[Team Number],"ERROR",0)</f>
        <v>0</v>
      </c>
      <c r="B193" s="42" t="str">
        <f>_xlfn.XLOOKUP(RobotDesignResults[[#This Row],[Team Number]],OfficialTeamList[Team Number],OfficialTeamList[Team Name],"",0,)</f>
        <v/>
      </c>
      <c r="C193" s="17"/>
      <c r="D193" s="17"/>
      <c r="E193" s="17"/>
      <c r="F193" s="17"/>
      <c r="G193" s="17"/>
      <c r="H193" s="17"/>
      <c r="I193" s="17"/>
      <c r="J193" s="17"/>
      <c r="K193" s="17"/>
      <c r="L193" s="17"/>
      <c r="M193" s="12">
        <f>SUM(RobotDesignResults[[#This Row],[Identify - Strategy]:[Communicate - Fun (CV)]])</f>
        <v>0</v>
      </c>
      <c r="N193" s="43">
        <f>IF(RobotDesignResults[[#This Row],[Team Number]]&gt;0,MIN(_xlfn.RANK.EQ(RobotDesignResults[[#This Row],[Robot Design Score]],RobotDesignResults[Robot Design Score],0),NumberOfTeams),NumberOfTeams+1)</f>
        <v>1</v>
      </c>
    </row>
    <row r="194" spans="1:14" ht="30" customHeight="1" x14ac:dyDescent="0.45">
      <c r="A194" s="12">
        <f>_xlfn.XLOOKUP(193,OfficialTeamList[Row],OfficialTeamList[Team Number],"ERROR",0)</f>
        <v>0</v>
      </c>
      <c r="B194" s="42" t="str">
        <f>_xlfn.XLOOKUP(RobotDesignResults[[#This Row],[Team Number]],OfficialTeamList[Team Number],OfficialTeamList[Team Name],"",0,)</f>
        <v/>
      </c>
      <c r="C194" s="17"/>
      <c r="D194" s="17"/>
      <c r="E194" s="17"/>
      <c r="F194" s="17"/>
      <c r="G194" s="17"/>
      <c r="H194" s="17"/>
      <c r="I194" s="17"/>
      <c r="J194" s="17"/>
      <c r="K194" s="17"/>
      <c r="L194" s="17"/>
      <c r="M194" s="12">
        <f>SUM(RobotDesignResults[[#This Row],[Identify - Strategy]:[Communicate - Fun (CV)]])</f>
        <v>0</v>
      </c>
      <c r="N194" s="43">
        <f>IF(RobotDesignResults[[#This Row],[Team Number]]&gt;0,MIN(_xlfn.RANK.EQ(RobotDesignResults[[#This Row],[Robot Design Score]],RobotDesignResults[Robot Design Score],0),NumberOfTeams),NumberOfTeams+1)</f>
        <v>1</v>
      </c>
    </row>
    <row r="195" spans="1:14" ht="30" customHeight="1" x14ac:dyDescent="0.45">
      <c r="A195" s="12">
        <f>_xlfn.XLOOKUP(194,OfficialTeamList[Row],OfficialTeamList[Team Number],"ERROR",0)</f>
        <v>0</v>
      </c>
      <c r="B195" s="42" t="str">
        <f>_xlfn.XLOOKUP(RobotDesignResults[[#This Row],[Team Number]],OfficialTeamList[Team Number],OfficialTeamList[Team Name],"",0,)</f>
        <v/>
      </c>
      <c r="C195" s="17"/>
      <c r="D195" s="17"/>
      <c r="E195" s="17"/>
      <c r="F195" s="17"/>
      <c r="G195" s="17"/>
      <c r="H195" s="17"/>
      <c r="I195" s="17"/>
      <c r="J195" s="17"/>
      <c r="K195" s="17"/>
      <c r="L195" s="17"/>
      <c r="M195" s="12">
        <f>SUM(RobotDesignResults[[#This Row],[Identify - Strategy]:[Communicate - Fun (CV)]])</f>
        <v>0</v>
      </c>
      <c r="N195" s="43">
        <f>IF(RobotDesignResults[[#This Row],[Team Number]]&gt;0,MIN(_xlfn.RANK.EQ(RobotDesignResults[[#This Row],[Robot Design Score]],RobotDesignResults[Robot Design Score],0),NumberOfTeams),NumberOfTeams+1)</f>
        <v>1</v>
      </c>
    </row>
    <row r="196" spans="1:14" ht="30" customHeight="1" x14ac:dyDescent="0.45">
      <c r="A196" s="12">
        <f>_xlfn.XLOOKUP(195,OfficialTeamList[Row],OfficialTeamList[Team Number],"ERROR",0)</f>
        <v>0</v>
      </c>
      <c r="B196" s="42" t="str">
        <f>_xlfn.XLOOKUP(RobotDesignResults[[#This Row],[Team Number]],OfficialTeamList[Team Number],OfficialTeamList[Team Name],"",0,)</f>
        <v/>
      </c>
      <c r="C196" s="17"/>
      <c r="D196" s="17"/>
      <c r="E196" s="17"/>
      <c r="F196" s="17"/>
      <c r="G196" s="17"/>
      <c r="H196" s="17"/>
      <c r="I196" s="17"/>
      <c r="J196" s="17"/>
      <c r="K196" s="17"/>
      <c r="L196" s="17"/>
      <c r="M196" s="12">
        <f>SUM(RobotDesignResults[[#This Row],[Identify - Strategy]:[Communicate - Fun (CV)]])</f>
        <v>0</v>
      </c>
      <c r="N196" s="43">
        <f>IF(RobotDesignResults[[#This Row],[Team Number]]&gt;0,MIN(_xlfn.RANK.EQ(RobotDesignResults[[#This Row],[Robot Design Score]],RobotDesignResults[Robot Design Score],0),NumberOfTeams),NumberOfTeams+1)</f>
        <v>1</v>
      </c>
    </row>
    <row r="197" spans="1:14" ht="30" customHeight="1" x14ac:dyDescent="0.45">
      <c r="A197" s="12">
        <f>_xlfn.XLOOKUP(196,OfficialTeamList[Row],OfficialTeamList[Team Number],"ERROR",0)</f>
        <v>0</v>
      </c>
      <c r="B197" s="42" t="str">
        <f>_xlfn.XLOOKUP(RobotDesignResults[[#This Row],[Team Number]],OfficialTeamList[Team Number],OfficialTeamList[Team Name],"",0,)</f>
        <v/>
      </c>
      <c r="C197" s="17"/>
      <c r="D197" s="17"/>
      <c r="E197" s="17"/>
      <c r="F197" s="17"/>
      <c r="G197" s="17"/>
      <c r="H197" s="17"/>
      <c r="I197" s="17"/>
      <c r="J197" s="17"/>
      <c r="K197" s="17"/>
      <c r="L197" s="17"/>
      <c r="M197" s="12">
        <f>SUM(RobotDesignResults[[#This Row],[Identify - Strategy]:[Communicate - Fun (CV)]])</f>
        <v>0</v>
      </c>
      <c r="N197" s="43">
        <f>IF(RobotDesignResults[[#This Row],[Team Number]]&gt;0,MIN(_xlfn.RANK.EQ(RobotDesignResults[[#This Row],[Robot Design Score]],RobotDesignResults[Robot Design Score],0),NumberOfTeams),NumberOfTeams+1)</f>
        <v>1</v>
      </c>
    </row>
    <row r="198" spans="1:14" ht="30" customHeight="1" x14ac:dyDescent="0.45">
      <c r="A198" s="12">
        <f>_xlfn.XLOOKUP(197,OfficialTeamList[Row],OfficialTeamList[Team Number],"ERROR",0)</f>
        <v>0</v>
      </c>
      <c r="B198" s="42" t="str">
        <f>_xlfn.XLOOKUP(RobotDesignResults[[#This Row],[Team Number]],OfficialTeamList[Team Number],OfficialTeamList[Team Name],"",0,)</f>
        <v/>
      </c>
      <c r="C198" s="17"/>
      <c r="D198" s="17"/>
      <c r="E198" s="17"/>
      <c r="F198" s="17"/>
      <c r="G198" s="17"/>
      <c r="H198" s="17"/>
      <c r="I198" s="17"/>
      <c r="J198" s="17"/>
      <c r="K198" s="17"/>
      <c r="L198" s="17"/>
      <c r="M198" s="12">
        <f>SUM(RobotDesignResults[[#This Row],[Identify - Strategy]:[Communicate - Fun (CV)]])</f>
        <v>0</v>
      </c>
      <c r="N198" s="43">
        <f>IF(RobotDesignResults[[#This Row],[Team Number]]&gt;0,MIN(_xlfn.RANK.EQ(RobotDesignResults[[#This Row],[Robot Design Score]],RobotDesignResults[Robot Design Score],0),NumberOfTeams),NumberOfTeams+1)</f>
        <v>1</v>
      </c>
    </row>
    <row r="199" spans="1:14" ht="30" customHeight="1" x14ac:dyDescent="0.45">
      <c r="A199" s="12">
        <f>_xlfn.XLOOKUP(198,OfficialTeamList[Row],OfficialTeamList[Team Number],"ERROR",0)</f>
        <v>0</v>
      </c>
      <c r="B199" s="42" t="str">
        <f>_xlfn.XLOOKUP(RobotDesignResults[[#This Row],[Team Number]],OfficialTeamList[Team Number],OfficialTeamList[Team Name],"",0,)</f>
        <v/>
      </c>
      <c r="C199" s="17"/>
      <c r="D199" s="17"/>
      <c r="E199" s="17"/>
      <c r="F199" s="17"/>
      <c r="G199" s="17"/>
      <c r="H199" s="17"/>
      <c r="I199" s="17"/>
      <c r="J199" s="17"/>
      <c r="K199" s="17"/>
      <c r="L199" s="17"/>
      <c r="M199" s="12">
        <f>SUM(RobotDesignResults[[#This Row],[Identify - Strategy]:[Communicate - Fun (CV)]])</f>
        <v>0</v>
      </c>
      <c r="N199" s="43">
        <f>IF(RobotDesignResults[[#This Row],[Team Number]]&gt;0,MIN(_xlfn.RANK.EQ(RobotDesignResults[[#This Row],[Robot Design Score]],RobotDesignResults[Robot Design Score],0),NumberOfTeams),NumberOfTeams+1)</f>
        <v>1</v>
      </c>
    </row>
    <row r="200" spans="1:14" ht="30" customHeight="1" x14ac:dyDescent="0.45">
      <c r="A200" s="12">
        <f>_xlfn.XLOOKUP(199,OfficialTeamList[Row],OfficialTeamList[Team Number],"ERROR",0)</f>
        <v>0</v>
      </c>
      <c r="B200" s="42" t="str">
        <f>_xlfn.XLOOKUP(RobotDesignResults[[#This Row],[Team Number]],OfficialTeamList[Team Number],OfficialTeamList[Team Name],"",0,)</f>
        <v/>
      </c>
      <c r="C200" s="17"/>
      <c r="D200" s="17"/>
      <c r="E200" s="17"/>
      <c r="F200" s="17"/>
      <c r="G200" s="17"/>
      <c r="H200" s="17"/>
      <c r="I200" s="17"/>
      <c r="J200" s="17"/>
      <c r="K200" s="17"/>
      <c r="L200" s="17"/>
      <c r="M200" s="12">
        <f>SUM(RobotDesignResults[[#This Row],[Identify - Strategy]:[Communicate - Fun (CV)]])</f>
        <v>0</v>
      </c>
      <c r="N200" s="43">
        <f>IF(RobotDesignResults[[#This Row],[Team Number]]&gt;0,MIN(_xlfn.RANK.EQ(RobotDesignResults[[#This Row],[Robot Design Score]],RobotDesignResults[Robot Design Score],0),NumberOfTeams),NumberOfTeams+1)</f>
        <v>1</v>
      </c>
    </row>
    <row r="201" spans="1:14" ht="30" customHeight="1" x14ac:dyDescent="0.45">
      <c r="A201" s="12">
        <f>_xlfn.XLOOKUP(200,OfficialTeamList[Row],OfficialTeamList[Team Number],"ERROR",0)</f>
        <v>0</v>
      </c>
      <c r="B201" s="42" t="str">
        <f>_xlfn.XLOOKUP(RobotDesignResults[[#This Row],[Team Number]],OfficialTeamList[Team Number],OfficialTeamList[Team Name],"",0,)</f>
        <v/>
      </c>
      <c r="C201" s="17"/>
      <c r="D201" s="17"/>
      <c r="E201" s="17"/>
      <c r="F201" s="17"/>
      <c r="G201" s="17"/>
      <c r="H201" s="17"/>
      <c r="I201" s="17"/>
      <c r="J201" s="17"/>
      <c r="K201" s="17"/>
      <c r="L201" s="17"/>
      <c r="M201" s="12">
        <f>SUM(RobotDesignResults[[#This Row],[Identify - Strategy]:[Communicate - Fun (CV)]])</f>
        <v>0</v>
      </c>
      <c r="N201" s="43">
        <f>IF(RobotDesignResults[[#This Row],[Team Number]]&gt;0,MIN(_xlfn.RANK.EQ(RobotDesignResults[[#This Row],[Robot Design Score]],RobotDesignResults[Robot Design Score],0),NumberOfTeams),NumberOfTeams+1)</f>
        <v>1</v>
      </c>
    </row>
  </sheetData>
  <dataValidations count="1">
    <dataValidation type="whole" allowBlank="1" showErrorMessage="1" error="Only values between 1 and 4 are permitted." prompt="Only values between 1 and 4 are permitted. " sqref="C2:L201" xr:uid="{1E77B5DB-74CA-4DE9-92FB-5F94FF559134}">
      <formula1>1</formula1>
      <formula2>4</formula2>
    </dataValidation>
  </dataValidation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61923-F82B-4AA8-BEF2-64F27C6D1BF2}">
  <sheetPr>
    <tabColor rgb="FF00B050"/>
  </sheetPr>
  <dimension ref="A1:I201"/>
  <sheetViews>
    <sheetView showGridLines="0" zoomScaleNormal="100" workbookViewId="0">
      <selection activeCell="B1" sqref="B1"/>
    </sheetView>
  </sheetViews>
  <sheetFormatPr defaultRowHeight="14.25" outlineLevelCol="1" x14ac:dyDescent="0.45"/>
  <cols>
    <col min="1" max="1" width="7.46484375" customWidth="1"/>
    <col min="2" max="2" width="23.46484375" customWidth="1"/>
    <col min="3" max="3" width="37.53125" customWidth="1"/>
    <col min="4" max="6" width="7.46484375" customWidth="1"/>
    <col min="7" max="8" width="7.46484375" hidden="1" customWidth="1" outlineLevel="1"/>
    <col min="9" max="9" width="10.46484375" customWidth="1" collapsed="1"/>
  </cols>
  <sheetData>
    <row r="1" spans="1:9" ht="169.25" customHeight="1" x14ac:dyDescent="0.45">
      <c r="A1" s="84" t="s">
        <v>51</v>
      </c>
      <c r="B1" s="94" t="s">
        <v>23</v>
      </c>
      <c r="C1" s="95" t="s">
        <v>24</v>
      </c>
      <c r="D1" s="85" t="s">
        <v>83</v>
      </c>
      <c r="E1" s="85" t="s">
        <v>84</v>
      </c>
      <c r="F1" s="85" t="s">
        <v>85</v>
      </c>
      <c r="G1" s="85" t="s">
        <v>86</v>
      </c>
      <c r="H1" s="85" t="s">
        <v>87</v>
      </c>
      <c r="I1" s="86" t="s">
        <v>88</v>
      </c>
    </row>
    <row r="2" spans="1:9" ht="30" customHeight="1" x14ac:dyDescent="0.5">
      <c r="A2">
        <f>IF(RobotGameScores[[#This Row],[Team Number]]&gt;0,MIN(_xlfn.RANK.EQ(RobotGameScores[[#This Row],[Highest Robot Game Score]],RobotGameScores[Highest Robot Game Score],0),NumberOfTeams),NumberOfTeams+1)</f>
        <v>1</v>
      </c>
      <c r="B2" s="12">
        <f>(_xlfn.XLOOKUP(1,OfficialTeamList[Row],OfficialTeamList[Team Number],"ERROR",0))+0</f>
        <v>0</v>
      </c>
      <c r="C2" s="42" t="str">
        <f>_xlfn.XLOOKUP(RobotDesignResults[[#This Row],[Team Number]],OfficialTeamList[Team Number],OfficialTeamList[Team Name],"",0,)</f>
        <v/>
      </c>
      <c r="G2" s="12"/>
      <c r="H2" s="12"/>
      <c r="I2" s="88">
        <f>IF(RobotGameScores[[#This Row],[Team Number]]&gt;0,MAX(RobotGameScores[[#This Row],[Robot Game 1 Score]:[Robot Game 5 Score]]),0)</f>
        <v>0</v>
      </c>
    </row>
    <row r="3" spans="1:9" ht="30" customHeight="1" x14ac:dyDescent="0.5">
      <c r="A3">
        <f>IF(RobotGameScores[[#This Row],[Team Number]]&gt;0,MIN(_xlfn.RANK.EQ(RobotGameScores[[#This Row],[Highest Robot Game Score]],RobotGameScores[Highest Robot Game Score],0),NumberOfTeams),NumberOfTeams+1)</f>
        <v>1</v>
      </c>
      <c r="B3" s="12">
        <f>(_xlfn.XLOOKUP(2,OfficialTeamList[Row],OfficialTeamList[Team Number],"ERROR",0))+0</f>
        <v>0</v>
      </c>
      <c r="C3" s="42" t="str">
        <f>_xlfn.XLOOKUP(RobotDesignResults[[#This Row],[Team Number]],OfficialTeamList[Team Number],OfficialTeamList[Team Name],"",0,)</f>
        <v/>
      </c>
      <c r="G3" s="12"/>
      <c r="H3" s="12"/>
      <c r="I3" s="88">
        <f>IF(RobotGameScores[[#This Row],[Team Number]]&gt;0,MAX(RobotGameScores[[#This Row],[Robot Game 1 Score]:[Robot Game 5 Score]]),0)</f>
        <v>0</v>
      </c>
    </row>
    <row r="4" spans="1:9" ht="30" customHeight="1" x14ac:dyDescent="0.5">
      <c r="A4">
        <f>IF(RobotGameScores[[#This Row],[Team Number]]&gt;0,MIN(_xlfn.RANK.EQ(RobotGameScores[[#This Row],[Highest Robot Game Score]],RobotGameScores[Highest Robot Game Score],0),NumberOfTeams),NumberOfTeams+1)</f>
        <v>1</v>
      </c>
      <c r="B4" s="12">
        <f>(_xlfn.XLOOKUP(3,OfficialTeamList[Row],OfficialTeamList[Team Number],"ERROR",0))+0</f>
        <v>0</v>
      </c>
      <c r="C4" s="42" t="str">
        <f>_xlfn.XLOOKUP(RobotDesignResults[[#This Row],[Team Number]],OfficialTeamList[Team Number],OfficialTeamList[Team Name],"",0,)</f>
        <v/>
      </c>
      <c r="G4" s="12"/>
      <c r="H4" s="12"/>
      <c r="I4" s="88">
        <f>IF(RobotGameScores[[#This Row],[Team Number]]&gt;0,MAX(RobotGameScores[[#This Row],[Robot Game 1 Score]:[Robot Game 5 Score]]),0)</f>
        <v>0</v>
      </c>
    </row>
    <row r="5" spans="1:9" ht="30" customHeight="1" x14ac:dyDescent="0.5">
      <c r="A5">
        <f>IF(RobotGameScores[[#This Row],[Team Number]]&gt;0,MIN(_xlfn.RANK.EQ(RobotGameScores[[#This Row],[Highest Robot Game Score]],RobotGameScores[Highest Robot Game Score],0),NumberOfTeams),NumberOfTeams+1)</f>
        <v>1</v>
      </c>
      <c r="B5" s="12">
        <f>_xlfn.XLOOKUP(4,OfficialTeamList[Row],OfficialTeamList[Team Number],"ERROR",0)</f>
        <v>0</v>
      </c>
      <c r="C5" s="42" t="str">
        <f>_xlfn.XLOOKUP(RobotDesignResults[[#This Row],[Team Number]],OfficialTeamList[Team Number],OfficialTeamList[Team Name],"",0,)</f>
        <v/>
      </c>
      <c r="G5" s="12"/>
      <c r="H5" s="12"/>
      <c r="I5" s="88">
        <f>IF(RobotGameScores[[#This Row],[Team Number]]&gt;0,MAX(RobotGameScores[[#This Row],[Robot Game 1 Score]:[Robot Game 5 Score]]),0)</f>
        <v>0</v>
      </c>
    </row>
    <row r="6" spans="1:9" ht="30" customHeight="1" x14ac:dyDescent="0.5">
      <c r="A6">
        <f>IF(RobotGameScores[[#This Row],[Team Number]]&gt;0,MIN(_xlfn.RANK.EQ(RobotGameScores[[#This Row],[Highest Robot Game Score]],RobotGameScores[Highest Robot Game Score],0),NumberOfTeams),NumberOfTeams+1)</f>
        <v>1</v>
      </c>
      <c r="B6" s="12">
        <f>_xlfn.XLOOKUP(5,OfficialTeamList[Row],OfficialTeamList[Team Number],"ERROR",0)</f>
        <v>0</v>
      </c>
      <c r="C6" s="42" t="str">
        <f>_xlfn.XLOOKUP(RobotDesignResults[[#This Row],[Team Number]],OfficialTeamList[Team Number],OfficialTeamList[Team Name],"",0,)</f>
        <v/>
      </c>
      <c r="G6" s="12"/>
      <c r="H6" s="12"/>
      <c r="I6" s="88">
        <f>IF(RobotGameScores[[#This Row],[Team Number]]&gt;0,MAX(RobotGameScores[[#This Row],[Robot Game 1 Score]:[Robot Game 5 Score]]),0)</f>
        <v>0</v>
      </c>
    </row>
    <row r="7" spans="1:9" ht="30" customHeight="1" x14ac:dyDescent="0.5">
      <c r="A7">
        <f>IF(RobotGameScores[[#This Row],[Team Number]]&gt;0,MIN(_xlfn.RANK.EQ(RobotGameScores[[#This Row],[Highest Robot Game Score]],RobotGameScores[Highest Robot Game Score],0),NumberOfTeams),NumberOfTeams+1)</f>
        <v>1</v>
      </c>
      <c r="B7" s="12">
        <f>_xlfn.XLOOKUP(6,OfficialTeamList[Row],OfficialTeamList[Team Number],"ERROR",0)</f>
        <v>0</v>
      </c>
      <c r="C7" s="42" t="str">
        <f>_xlfn.XLOOKUP(RobotDesignResults[[#This Row],[Team Number]],OfficialTeamList[Team Number],OfficialTeamList[Team Name],"",0,)</f>
        <v/>
      </c>
      <c r="G7" s="12"/>
      <c r="H7" s="12"/>
      <c r="I7" s="88">
        <f>IF(RobotGameScores[[#This Row],[Team Number]]&gt;0,MAX(RobotGameScores[[#This Row],[Robot Game 1 Score]:[Robot Game 5 Score]]),0)</f>
        <v>0</v>
      </c>
    </row>
    <row r="8" spans="1:9" ht="30" customHeight="1" x14ac:dyDescent="0.5">
      <c r="A8">
        <f>IF(RobotGameScores[[#This Row],[Team Number]]&gt;0,MIN(_xlfn.RANK.EQ(RobotGameScores[[#This Row],[Highest Robot Game Score]],RobotGameScores[Highest Robot Game Score],0),NumberOfTeams),NumberOfTeams+1)</f>
        <v>1</v>
      </c>
      <c r="B8" s="12">
        <f>_xlfn.XLOOKUP(7,OfficialTeamList[Row],OfficialTeamList[Team Number],"ERROR",0)</f>
        <v>0</v>
      </c>
      <c r="C8" s="42" t="str">
        <f>_xlfn.XLOOKUP(RobotDesignResults[[#This Row],[Team Number]],OfficialTeamList[Team Number],OfficialTeamList[Team Name],"",0,)</f>
        <v/>
      </c>
      <c r="G8" s="12"/>
      <c r="H8" s="12"/>
      <c r="I8" s="88">
        <f>IF(RobotGameScores[[#This Row],[Team Number]]&gt;0,MAX(RobotGameScores[[#This Row],[Robot Game 1 Score]:[Robot Game 5 Score]]),0)</f>
        <v>0</v>
      </c>
    </row>
    <row r="9" spans="1:9" ht="30" customHeight="1" x14ac:dyDescent="0.5">
      <c r="A9">
        <f>IF(RobotGameScores[[#This Row],[Team Number]]&gt;0,MIN(_xlfn.RANK.EQ(RobotGameScores[[#This Row],[Highest Robot Game Score]],RobotGameScores[Highest Robot Game Score],0),NumberOfTeams),NumberOfTeams+1)</f>
        <v>1</v>
      </c>
      <c r="B9" s="12">
        <f>_xlfn.XLOOKUP(8,OfficialTeamList[Row],OfficialTeamList[Team Number],"ERROR",0)</f>
        <v>0</v>
      </c>
      <c r="C9" s="42" t="str">
        <f>_xlfn.XLOOKUP(RobotDesignResults[[#This Row],[Team Number]],OfficialTeamList[Team Number],OfficialTeamList[Team Name],"",0,)</f>
        <v/>
      </c>
      <c r="G9" s="12"/>
      <c r="H9" s="12"/>
      <c r="I9" s="88">
        <f>IF(RobotGameScores[[#This Row],[Team Number]]&gt;0,MAX(RobotGameScores[[#This Row],[Robot Game 1 Score]:[Robot Game 5 Score]]),0)</f>
        <v>0</v>
      </c>
    </row>
    <row r="10" spans="1:9" ht="30" customHeight="1" x14ac:dyDescent="0.5">
      <c r="A10">
        <f>IF(RobotGameScores[[#This Row],[Team Number]]&gt;0,MIN(_xlfn.RANK.EQ(RobotGameScores[[#This Row],[Highest Robot Game Score]],RobotGameScores[Highest Robot Game Score],0),NumberOfTeams),NumberOfTeams+1)</f>
        <v>1</v>
      </c>
      <c r="B10" s="12">
        <f>_xlfn.XLOOKUP(9,OfficialTeamList[Row],OfficialTeamList[Team Number],"ERROR",0)</f>
        <v>0</v>
      </c>
      <c r="C10" s="42" t="str">
        <f>_xlfn.XLOOKUP(RobotDesignResults[[#This Row],[Team Number]],OfficialTeamList[Team Number],OfficialTeamList[Team Name],"",0,)</f>
        <v/>
      </c>
      <c r="G10" s="12"/>
      <c r="H10" s="12"/>
      <c r="I10" s="88">
        <f>IF(RobotGameScores[[#This Row],[Team Number]]&gt;0,MAX(RobotGameScores[[#This Row],[Robot Game 1 Score]:[Robot Game 5 Score]]),0)</f>
        <v>0</v>
      </c>
    </row>
    <row r="11" spans="1:9" ht="30" customHeight="1" x14ac:dyDescent="0.5">
      <c r="A11">
        <f>IF(RobotGameScores[[#This Row],[Team Number]]&gt;0,MIN(_xlfn.RANK.EQ(RobotGameScores[[#This Row],[Highest Robot Game Score]],RobotGameScores[Highest Robot Game Score],0),NumberOfTeams),NumberOfTeams+1)</f>
        <v>1</v>
      </c>
      <c r="B11" s="12">
        <f>_xlfn.XLOOKUP(10,OfficialTeamList[Row],OfficialTeamList[Team Number],"ERROR",0)</f>
        <v>0</v>
      </c>
      <c r="C11" s="42" t="str">
        <f>_xlfn.XLOOKUP(RobotDesignResults[[#This Row],[Team Number]],OfficialTeamList[Team Number],OfficialTeamList[Team Name],"",0,)</f>
        <v/>
      </c>
      <c r="G11" s="12"/>
      <c r="H11" s="12"/>
      <c r="I11" s="88">
        <f>IF(RobotGameScores[[#This Row],[Team Number]]&gt;0,MAX(RobotGameScores[[#This Row],[Robot Game 1 Score]:[Robot Game 5 Score]]),0)</f>
        <v>0</v>
      </c>
    </row>
    <row r="12" spans="1:9" ht="30" customHeight="1" x14ac:dyDescent="0.5">
      <c r="A12">
        <f>IF(RobotGameScores[[#This Row],[Team Number]]&gt;0,MIN(_xlfn.RANK.EQ(RobotGameScores[[#This Row],[Highest Robot Game Score]],RobotGameScores[Highest Robot Game Score],0),NumberOfTeams),NumberOfTeams+1)</f>
        <v>1</v>
      </c>
      <c r="B12" s="12">
        <f>_xlfn.XLOOKUP(11,OfficialTeamList[Row],OfficialTeamList[Team Number],"ERROR",0)</f>
        <v>0</v>
      </c>
      <c r="C12" s="42" t="str">
        <f>_xlfn.XLOOKUP(RobotDesignResults[[#This Row],[Team Number]],OfficialTeamList[Team Number],OfficialTeamList[Team Name],"",0,)</f>
        <v/>
      </c>
      <c r="G12" s="12"/>
      <c r="H12" s="12"/>
      <c r="I12" s="88">
        <f>IF(RobotGameScores[[#This Row],[Team Number]]&gt;0,MAX(RobotGameScores[[#This Row],[Robot Game 1 Score]:[Robot Game 5 Score]]),0)</f>
        <v>0</v>
      </c>
    </row>
    <row r="13" spans="1:9" ht="30" customHeight="1" x14ac:dyDescent="0.5">
      <c r="A13">
        <f>IF(RobotGameScores[[#This Row],[Team Number]]&gt;0,MIN(_xlfn.RANK.EQ(RobotGameScores[[#This Row],[Highest Robot Game Score]],RobotGameScores[Highest Robot Game Score],0),NumberOfTeams),NumberOfTeams+1)</f>
        <v>1</v>
      </c>
      <c r="B13" s="12">
        <f>_xlfn.XLOOKUP(12,OfficialTeamList[Row],OfficialTeamList[Team Number],"ERROR",0)</f>
        <v>0</v>
      </c>
      <c r="C13" s="42" t="str">
        <f>_xlfn.XLOOKUP(RobotDesignResults[[#This Row],[Team Number]],OfficialTeamList[Team Number],OfficialTeamList[Team Name],"",0,)</f>
        <v/>
      </c>
      <c r="G13" s="12"/>
      <c r="H13" s="12"/>
      <c r="I13" s="88">
        <f>IF(RobotGameScores[[#This Row],[Team Number]]&gt;0,MAX(RobotGameScores[[#This Row],[Robot Game 1 Score]:[Robot Game 5 Score]]),0)</f>
        <v>0</v>
      </c>
    </row>
    <row r="14" spans="1:9" ht="30" customHeight="1" x14ac:dyDescent="0.5">
      <c r="A14">
        <f>IF(RobotGameScores[[#This Row],[Team Number]]&gt;0,MIN(_xlfn.RANK.EQ(RobotGameScores[[#This Row],[Highest Robot Game Score]],RobotGameScores[Highest Robot Game Score],0),NumberOfTeams),NumberOfTeams+1)</f>
        <v>1</v>
      </c>
      <c r="B14" s="12">
        <f>_xlfn.XLOOKUP(13,OfficialTeamList[Row],OfficialTeamList[Team Number],"ERROR",0)</f>
        <v>0</v>
      </c>
      <c r="C14" s="42" t="str">
        <f>_xlfn.XLOOKUP(RobotDesignResults[[#This Row],[Team Number]],OfficialTeamList[Team Number],OfficialTeamList[Team Name],"",0,)</f>
        <v/>
      </c>
      <c r="G14" s="12"/>
      <c r="H14" s="12"/>
      <c r="I14" s="88">
        <f>IF(RobotGameScores[[#This Row],[Team Number]]&gt;0,MAX(RobotGameScores[[#This Row],[Robot Game 1 Score]:[Robot Game 5 Score]]),0)</f>
        <v>0</v>
      </c>
    </row>
    <row r="15" spans="1:9" ht="30" customHeight="1" x14ac:dyDescent="0.5">
      <c r="A15">
        <f>IF(RobotGameScores[[#This Row],[Team Number]]&gt;0,MIN(_xlfn.RANK.EQ(RobotGameScores[[#This Row],[Highest Robot Game Score]],RobotGameScores[Highest Robot Game Score],0),NumberOfTeams),NumberOfTeams+1)</f>
        <v>1</v>
      </c>
      <c r="B15" s="12">
        <f>_xlfn.XLOOKUP(14,OfficialTeamList[Row],OfficialTeamList[Team Number],"ERROR",0)</f>
        <v>0</v>
      </c>
      <c r="C15" s="42" t="str">
        <f>_xlfn.XLOOKUP(RobotDesignResults[[#This Row],[Team Number]],OfficialTeamList[Team Number],OfficialTeamList[Team Name],"",0,)</f>
        <v/>
      </c>
      <c r="G15" s="12"/>
      <c r="H15" s="12"/>
      <c r="I15" s="88">
        <f>IF(RobotGameScores[[#This Row],[Team Number]]&gt;0,MAX(RobotGameScores[[#This Row],[Robot Game 1 Score]:[Robot Game 5 Score]]),0)</f>
        <v>0</v>
      </c>
    </row>
    <row r="16" spans="1:9" ht="30" customHeight="1" x14ac:dyDescent="0.5">
      <c r="A16">
        <f>IF(RobotGameScores[[#This Row],[Team Number]]&gt;0,MIN(_xlfn.RANK.EQ(RobotGameScores[[#This Row],[Highest Robot Game Score]],RobotGameScores[Highest Robot Game Score],0),NumberOfTeams),NumberOfTeams+1)</f>
        <v>1</v>
      </c>
      <c r="B16" s="12">
        <f>_xlfn.XLOOKUP(15,OfficialTeamList[Row],OfficialTeamList[Team Number],"ERROR",0)</f>
        <v>0</v>
      </c>
      <c r="C16" s="42" t="str">
        <f>_xlfn.XLOOKUP(RobotDesignResults[[#This Row],[Team Number]],OfficialTeamList[Team Number],OfficialTeamList[Team Name],"",0,)</f>
        <v/>
      </c>
      <c r="G16" s="12"/>
      <c r="H16" s="12"/>
      <c r="I16" s="88">
        <f>IF(RobotGameScores[[#This Row],[Team Number]]&gt;0,MAX(RobotGameScores[[#This Row],[Robot Game 1 Score]:[Robot Game 5 Score]]),0)</f>
        <v>0</v>
      </c>
    </row>
    <row r="17" spans="1:9" ht="30" customHeight="1" x14ac:dyDescent="0.5">
      <c r="A17">
        <f>IF(RobotGameScores[[#This Row],[Team Number]]&gt;0,MIN(_xlfn.RANK.EQ(RobotGameScores[[#This Row],[Highest Robot Game Score]],RobotGameScores[Highest Robot Game Score],0),NumberOfTeams),NumberOfTeams+1)</f>
        <v>1</v>
      </c>
      <c r="B17" s="12">
        <f>_xlfn.XLOOKUP(16,OfficialTeamList[Row],OfficialTeamList[Team Number],"ERROR",0)</f>
        <v>0</v>
      </c>
      <c r="C17" s="42" t="str">
        <f>_xlfn.XLOOKUP(RobotDesignResults[[#This Row],[Team Number]],OfficialTeamList[Team Number],OfficialTeamList[Team Name],"",0,)</f>
        <v/>
      </c>
      <c r="G17" s="12"/>
      <c r="H17" s="12"/>
      <c r="I17" s="88">
        <f>IF(RobotGameScores[[#This Row],[Team Number]]&gt;0,MAX(RobotGameScores[[#This Row],[Robot Game 1 Score]:[Robot Game 5 Score]]),0)</f>
        <v>0</v>
      </c>
    </row>
    <row r="18" spans="1:9" ht="30" customHeight="1" x14ac:dyDescent="0.5">
      <c r="A18">
        <f>IF(RobotGameScores[[#This Row],[Team Number]]&gt;0,MIN(_xlfn.RANK.EQ(RobotGameScores[[#This Row],[Highest Robot Game Score]],RobotGameScores[Highest Robot Game Score],0),NumberOfTeams),NumberOfTeams+1)</f>
        <v>1</v>
      </c>
      <c r="B18" s="12">
        <f>_xlfn.XLOOKUP(17,OfficialTeamList[Row],OfficialTeamList[Team Number],"ERROR",0)</f>
        <v>0</v>
      </c>
      <c r="C18" s="42" t="str">
        <f>_xlfn.XLOOKUP(RobotDesignResults[[#This Row],[Team Number]],OfficialTeamList[Team Number],OfficialTeamList[Team Name],"",0,)</f>
        <v/>
      </c>
      <c r="G18" s="12"/>
      <c r="H18" s="12"/>
      <c r="I18" s="88">
        <f>IF(RobotGameScores[[#This Row],[Team Number]]&gt;0,MAX(RobotGameScores[[#This Row],[Robot Game 1 Score]:[Robot Game 5 Score]]),0)</f>
        <v>0</v>
      </c>
    </row>
    <row r="19" spans="1:9" ht="30" customHeight="1" x14ac:dyDescent="0.5">
      <c r="A19">
        <f>IF(RobotGameScores[[#This Row],[Team Number]]&gt;0,MIN(_xlfn.RANK.EQ(RobotGameScores[[#This Row],[Highest Robot Game Score]],RobotGameScores[Highest Robot Game Score],0),NumberOfTeams),NumberOfTeams+1)</f>
        <v>1</v>
      </c>
      <c r="B19" s="12">
        <f>_xlfn.XLOOKUP(18,OfficialTeamList[Row],OfficialTeamList[Team Number],"ERROR",0)</f>
        <v>0</v>
      </c>
      <c r="C19" s="42" t="str">
        <f>_xlfn.XLOOKUP(RobotDesignResults[[#This Row],[Team Number]],OfficialTeamList[Team Number],OfficialTeamList[Team Name],"",0,)</f>
        <v/>
      </c>
      <c r="G19" s="12"/>
      <c r="H19" s="12"/>
      <c r="I19" s="88">
        <f>IF(RobotGameScores[[#This Row],[Team Number]]&gt;0,MAX(RobotGameScores[[#This Row],[Robot Game 1 Score]:[Robot Game 5 Score]]),0)</f>
        <v>0</v>
      </c>
    </row>
    <row r="20" spans="1:9" ht="30" customHeight="1" x14ac:dyDescent="0.5">
      <c r="A20">
        <f>IF(RobotGameScores[[#This Row],[Team Number]]&gt;0,MIN(_xlfn.RANK.EQ(RobotGameScores[[#This Row],[Highest Robot Game Score]],RobotGameScores[Highest Robot Game Score],0),NumberOfTeams),NumberOfTeams+1)</f>
        <v>1</v>
      </c>
      <c r="B20" s="12">
        <f>_xlfn.XLOOKUP(19,OfficialTeamList[Row],OfficialTeamList[Team Number],"ERROR",0)</f>
        <v>0</v>
      </c>
      <c r="C20" s="42" t="str">
        <f>_xlfn.XLOOKUP(RobotDesignResults[[#This Row],[Team Number]],OfficialTeamList[Team Number],OfficialTeamList[Team Name],"",0,)</f>
        <v/>
      </c>
      <c r="G20" s="12"/>
      <c r="H20" s="12"/>
      <c r="I20" s="88">
        <f>IF(RobotGameScores[[#This Row],[Team Number]]&gt;0,MAX(RobotGameScores[[#This Row],[Robot Game 1 Score]:[Robot Game 5 Score]]),0)</f>
        <v>0</v>
      </c>
    </row>
    <row r="21" spans="1:9" ht="30" customHeight="1" x14ac:dyDescent="0.5">
      <c r="A21">
        <f>IF(RobotGameScores[[#This Row],[Team Number]]&gt;0,MIN(_xlfn.RANK.EQ(RobotGameScores[[#This Row],[Highest Robot Game Score]],RobotGameScores[Highest Robot Game Score],0),NumberOfTeams),NumberOfTeams+1)</f>
        <v>1</v>
      </c>
      <c r="B21" s="12">
        <f>_xlfn.XLOOKUP(20,OfficialTeamList[Row],OfficialTeamList[Team Number],"ERROR",0)</f>
        <v>0</v>
      </c>
      <c r="C21" s="42" t="str">
        <f>_xlfn.XLOOKUP(RobotDesignResults[[#This Row],[Team Number]],OfficialTeamList[Team Number],OfficialTeamList[Team Name],"",0,)</f>
        <v/>
      </c>
      <c r="G21" s="12"/>
      <c r="H21" s="12"/>
      <c r="I21" s="88">
        <f>IF(RobotGameScores[[#This Row],[Team Number]]&gt;0,MAX(RobotGameScores[[#This Row],[Robot Game 1 Score]:[Robot Game 5 Score]]),0)</f>
        <v>0</v>
      </c>
    </row>
    <row r="22" spans="1:9" ht="30" customHeight="1" x14ac:dyDescent="0.5">
      <c r="A22">
        <f>IF(RobotGameScores[[#This Row],[Team Number]]&gt;0,MIN(_xlfn.RANK.EQ(RobotGameScores[[#This Row],[Highest Robot Game Score]],RobotGameScores[Highest Robot Game Score],0),NumberOfTeams),NumberOfTeams+1)</f>
        <v>1</v>
      </c>
      <c r="B22" s="12">
        <f>_xlfn.XLOOKUP(21,OfficialTeamList[Row],OfficialTeamList[Team Number],"ERROR",0)</f>
        <v>0</v>
      </c>
      <c r="C22" s="42" t="str">
        <f>_xlfn.XLOOKUP(RobotDesignResults[[#This Row],[Team Number]],OfficialTeamList[Team Number],OfficialTeamList[Team Name],"",0,)</f>
        <v/>
      </c>
      <c r="G22" s="12"/>
      <c r="H22" s="12"/>
      <c r="I22" s="88">
        <f>IF(RobotGameScores[[#This Row],[Team Number]]&gt;0,MAX(RobotGameScores[[#This Row],[Robot Game 1 Score]:[Robot Game 5 Score]]),0)</f>
        <v>0</v>
      </c>
    </row>
    <row r="23" spans="1:9" ht="30" customHeight="1" x14ac:dyDescent="0.5">
      <c r="A23">
        <f>IF(RobotGameScores[[#This Row],[Team Number]]&gt;0,MIN(_xlfn.RANK.EQ(RobotGameScores[[#This Row],[Highest Robot Game Score]],RobotGameScores[Highest Robot Game Score],0),NumberOfTeams),NumberOfTeams+1)</f>
        <v>1</v>
      </c>
      <c r="B23" s="12">
        <f>_xlfn.XLOOKUP(22,OfficialTeamList[Row],OfficialTeamList[Team Number],"ERROR",0)</f>
        <v>0</v>
      </c>
      <c r="C23" s="42" t="str">
        <f>_xlfn.XLOOKUP(RobotDesignResults[[#This Row],[Team Number]],OfficialTeamList[Team Number],OfficialTeamList[Team Name],"",0,)</f>
        <v/>
      </c>
      <c r="G23" s="12"/>
      <c r="H23" s="12"/>
      <c r="I23" s="88">
        <f>IF(RobotGameScores[[#This Row],[Team Number]]&gt;0,MAX(RobotGameScores[[#This Row],[Robot Game 1 Score]:[Robot Game 5 Score]]),0)</f>
        <v>0</v>
      </c>
    </row>
    <row r="24" spans="1:9" ht="30" customHeight="1" x14ac:dyDescent="0.5">
      <c r="A24">
        <f>IF(RobotGameScores[[#This Row],[Team Number]]&gt;0,MIN(_xlfn.RANK.EQ(RobotGameScores[[#This Row],[Highest Robot Game Score]],RobotGameScores[Highest Robot Game Score],0),NumberOfTeams),NumberOfTeams+1)</f>
        <v>1</v>
      </c>
      <c r="B24" s="12">
        <f>_xlfn.XLOOKUP(23,OfficialTeamList[Row],OfficialTeamList[Team Number],"ERROR",0)</f>
        <v>0</v>
      </c>
      <c r="C24" s="42" t="str">
        <f>_xlfn.XLOOKUP(RobotDesignResults[[#This Row],[Team Number]],OfficialTeamList[Team Number],OfficialTeamList[Team Name],"",0,)</f>
        <v/>
      </c>
      <c r="G24" s="12"/>
      <c r="H24" s="12"/>
      <c r="I24" s="88">
        <f>IF(RobotGameScores[[#This Row],[Team Number]]&gt;0,MAX(RobotGameScores[[#This Row],[Robot Game 1 Score]:[Robot Game 5 Score]]),0)</f>
        <v>0</v>
      </c>
    </row>
    <row r="25" spans="1:9" ht="30" customHeight="1" x14ac:dyDescent="0.5">
      <c r="A25">
        <f>IF(RobotGameScores[[#This Row],[Team Number]]&gt;0,MIN(_xlfn.RANK.EQ(RobotGameScores[[#This Row],[Highest Robot Game Score]],RobotGameScores[Highest Robot Game Score],0),NumberOfTeams),NumberOfTeams+1)</f>
        <v>1</v>
      </c>
      <c r="B25" s="12">
        <f>_xlfn.XLOOKUP(24,OfficialTeamList[Row],OfficialTeamList[Team Number],"ERROR",0)</f>
        <v>0</v>
      </c>
      <c r="C25" s="42" t="str">
        <f>_xlfn.XLOOKUP(RobotDesignResults[[#This Row],[Team Number]],OfficialTeamList[Team Number],OfficialTeamList[Team Name],"",0,)</f>
        <v/>
      </c>
      <c r="G25" s="12"/>
      <c r="H25" s="12"/>
      <c r="I25" s="88">
        <f>IF(RobotGameScores[[#This Row],[Team Number]]&gt;0,MAX(RobotGameScores[[#This Row],[Robot Game 1 Score]:[Robot Game 5 Score]]),0)</f>
        <v>0</v>
      </c>
    </row>
    <row r="26" spans="1:9" ht="30" customHeight="1" x14ac:dyDescent="0.5">
      <c r="A26">
        <f>IF(RobotGameScores[[#This Row],[Team Number]]&gt;0,MIN(_xlfn.RANK.EQ(RobotGameScores[[#This Row],[Highest Robot Game Score]],RobotGameScores[Highest Robot Game Score],0),NumberOfTeams),NumberOfTeams+1)</f>
        <v>1</v>
      </c>
      <c r="B26" s="12">
        <f>_xlfn.XLOOKUP(25,OfficialTeamList[Row],OfficialTeamList[Team Number],"ERROR",0)</f>
        <v>0</v>
      </c>
      <c r="C26" s="42" t="str">
        <f>_xlfn.XLOOKUP(RobotDesignResults[[#This Row],[Team Number]],OfficialTeamList[Team Number],OfficialTeamList[Team Name],"",0,)</f>
        <v/>
      </c>
      <c r="G26" s="12"/>
      <c r="H26" s="12"/>
      <c r="I26" s="88">
        <f>IF(RobotGameScores[[#This Row],[Team Number]]&gt;0,MAX(RobotGameScores[[#This Row],[Robot Game 1 Score]:[Robot Game 5 Score]]),0)</f>
        <v>0</v>
      </c>
    </row>
    <row r="27" spans="1:9" ht="30" customHeight="1" x14ac:dyDescent="0.5">
      <c r="A27">
        <f>IF(RobotGameScores[[#This Row],[Team Number]]&gt;0,MIN(_xlfn.RANK.EQ(RobotGameScores[[#This Row],[Highest Robot Game Score]],RobotGameScores[Highest Robot Game Score],0),NumberOfTeams),NumberOfTeams+1)</f>
        <v>1</v>
      </c>
      <c r="B27" s="12">
        <f>_xlfn.XLOOKUP(26,OfficialTeamList[Row],OfficialTeamList[Team Number],"ERROR",0)</f>
        <v>0</v>
      </c>
      <c r="C27" s="42" t="str">
        <f>_xlfn.XLOOKUP(RobotDesignResults[[#This Row],[Team Number]],OfficialTeamList[Team Number],OfficialTeamList[Team Name],"",0,)</f>
        <v/>
      </c>
      <c r="G27" s="12"/>
      <c r="H27" s="12"/>
      <c r="I27" s="88">
        <f>IF(RobotGameScores[[#This Row],[Team Number]]&gt;0,MAX(RobotGameScores[[#This Row],[Robot Game 1 Score]:[Robot Game 5 Score]]),0)</f>
        <v>0</v>
      </c>
    </row>
    <row r="28" spans="1:9" ht="30" customHeight="1" x14ac:dyDescent="0.5">
      <c r="A28">
        <f>IF(RobotGameScores[[#This Row],[Team Number]]&gt;0,MIN(_xlfn.RANK.EQ(RobotGameScores[[#This Row],[Highest Robot Game Score]],RobotGameScores[Highest Robot Game Score],0),NumberOfTeams),NumberOfTeams+1)</f>
        <v>1</v>
      </c>
      <c r="B28" s="12">
        <f>_xlfn.XLOOKUP(27,OfficialTeamList[Row],OfficialTeamList[Team Number],"ERROR",0)</f>
        <v>0</v>
      </c>
      <c r="C28" s="42" t="str">
        <f>_xlfn.XLOOKUP(RobotDesignResults[[#This Row],[Team Number]],OfficialTeamList[Team Number],OfficialTeamList[Team Name],"",0,)</f>
        <v/>
      </c>
      <c r="G28" s="12"/>
      <c r="H28" s="12"/>
      <c r="I28" s="88">
        <f>IF(RobotGameScores[[#This Row],[Team Number]]&gt;0,MAX(RobotGameScores[[#This Row],[Robot Game 1 Score]:[Robot Game 5 Score]]),0)</f>
        <v>0</v>
      </c>
    </row>
    <row r="29" spans="1:9" ht="30" customHeight="1" x14ac:dyDescent="0.5">
      <c r="A29">
        <f>IF(RobotGameScores[[#This Row],[Team Number]]&gt;0,MIN(_xlfn.RANK.EQ(RobotGameScores[[#This Row],[Highest Robot Game Score]],RobotGameScores[Highest Robot Game Score],0),NumberOfTeams),NumberOfTeams+1)</f>
        <v>1</v>
      </c>
      <c r="B29" s="12">
        <f>_xlfn.XLOOKUP(28,OfficialTeamList[Row],OfficialTeamList[Team Number],"ERROR",0)</f>
        <v>0</v>
      </c>
      <c r="C29" s="42" t="str">
        <f>_xlfn.XLOOKUP(RobotDesignResults[[#This Row],[Team Number]],OfficialTeamList[Team Number],OfficialTeamList[Team Name],"",0,)</f>
        <v/>
      </c>
      <c r="G29" s="12"/>
      <c r="H29" s="12"/>
      <c r="I29" s="88">
        <f>IF(RobotGameScores[[#This Row],[Team Number]]&gt;0,MAX(RobotGameScores[[#This Row],[Robot Game 1 Score]:[Robot Game 5 Score]]),0)</f>
        <v>0</v>
      </c>
    </row>
    <row r="30" spans="1:9" ht="30" customHeight="1" x14ac:dyDescent="0.5">
      <c r="A30">
        <f>IF(RobotGameScores[[#This Row],[Team Number]]&gt;0,MIN(_xlfn.RANK.EQ(RobotGameScores[[#This Row],[Highest Robot Game Score]],RobotGameScores[Highest Robot Game Score],0),NumberOfTeams),NumberOfTeams+1)</f>
        <v>1</v>
      </c>
      <c r="B30" s="12">
        <f>_xlfn.XLOOKUP(29,OfficialTeamList[Row],OfficialTeamList[Team Number],"ERROR",0)</f>
        <v>0</v>
      </c>
      <c r="C30" s="42" t="str">
        <f>_xlfn.XLOOKUP(RobotDesignResults[[#This Row],[Team Number]],OfficialTeamList[Team Number],OfficialTeamList[Team Name],"",0,)</f>
        <v/>
      </c>
      <c r="G30" s="12"/>
      <c r="H30" s="12"/>
      <c r="I30" s="88">
        <f>IF(RobotGameScores[[#This Row],[Team Number]]&gt;0,MAX(RobotGameScores[[#This Row],[Robot Game 1 Score]:[Robot Game 5 Score]]),0)</f>
        <v>0</v>
      </c>
    </row>
    <row r="31" spans="1:9" ht="30" customHeight="1" x14ac:dyDescent="0.5">
      <c r="A31">
        <f>IF(RobotGameScores[[#This Row],[Team Number]]&gt;0,MIN(_xlfn.RANK.EQ(RobotGameScores[[#This Row],[Highest Robot Game Score]],RobotGameScores[Highest Robot Game Score],0),NumberOfTeams),NumberOfTeams+1)</f>
        <v>1</v>
      </c>
      <c r="B31" s="12">
        <f>_xlfn.XLOOKUP(30,OfficialTeamList[Row],OfficialTeamList[Team Number],"ERROR",0)</f>
        <v>0</v>
      </c>
      <c r="C31" s="42" t="str">
        <f>_xlfn.XLOOKUP(RobotDesignResults[[#This Row],[Team Number]],OfficialTeamList[Team Number],OfficialTeamList[Team Name],"",0,)</f>
        <v/>
      </c>
      <c r="G31" s="12"/>
      <c r="H31" s="12"/>
      <c r="I31" s="88">
        <f>IF(RobotGameScores[[#This Row],[Team Number]]&gt;0,MAX(RobotGameScores[[#This Row],[Robot Game 1 Score]:[Robot Game 5 Score]]),0)</f>
        <v>0</v>
      </c>
    </row>
    <row r="32" spans="1:9" ht="30" customHeight="1" x14ac:dyDescent="0.5">
      <c r="A32">
        <f>IF(RobotGameScores[[#This Row],[Team Number]]&gt;0,MIN(_xlfn.RANK.EQ(RobotGameScores[[#This Row],[Highest Robot Game Score]],RobotGameScores[Highest Robot Game Score],0),NumberOfTeams),NumberOfTeams+1)</f>
        <v>1</v>
      </c>
      <c r="B32" s="12">
        <f>_xlfn.XLOOKUP(31,OfficialTeamList[Row],OfficialTeamList[Team Number],"ERROR",0)</f>
        <v>0</v>
      </c>
      <c r="C32" s="42" t="str">
        <f>_xlfn.XLOOKUP(RobotDesignResults[[#This Row],[Team Number]],OfficialTeamList[Team Number],OfficialTeamList[Team Name],"",0,)</f>
        <v/>
      </c>
      <c r="G32" s="12"/>
      <c r="H32" s="12"/>
      <c r="I32" s="88">
        <f>IF(RobotGameScores[[#This Row],[Team Number]]&gt;0,MAX(RobotGameScores[[#This Row],[Robot Game 1 Score]:[Robot Game 5 Score]]),0)</f>
        <v>0</v>
      </c>
    </row>
    <row r="33" spans="1:9" ht="30" customHeight="1" x14ac:dyDescent="0.5">
      <c r="A33">
        <f>IF(RobotGameScores[[#This Row],[Team Number]]&gt;0,MIN(_xlfn.RANK.EQ(RobotGameScores[[#This Row],[Highest Robot Game Score]],RobotGameScores[Highest Robot Game Score],0),NumberOfTeams),NumberOfTeams+1)</f>
        <v>1</v>
      </c>
      <c r="B33" s="12">
        <f>_xlfn.XLOOKUP(32,OfficialTeamList[Row],OfficialTeamList[Team Number],"ERROR",0)</f>
        <v>0</v>
      </c>
      <c r="C33" s="42" t="str">
        <f>_xlfn.XLOOKUP(RobotDesignResults[[#This Row],[Team Number]],OfficialTeamList[Team Number],OfficialTeamList[Team Name],"",0,)</f>
        <v/>
      </c>
      <c r="G33" s="12"/>
      <c r="H33" s="12"/>
      <c r="I33" s="88">
        <f>IF(RobotGameScores[[#This Row],[Team Number]]&gt;0,MAX(RobotGameScores[[#This Row],[Robot Game 1 Score]:[Robot Game 5 Score]]),0)</f>
        <v>0</v>
      </c>
    </row>
    <row r="34" spans="1:9" ht="30" customHeight="1" x14ac:dyDescent="0.5">
      <c r="A34">
        <f>IF(RobotGameScores[[#This Row],[Team Number]]&gt;0,MIN(_xlfn.RANK.EQ(RobotGameScores[[#This Row],[Highest Robot Game Score]],RobotGameScores[Highest Robot Game Score],0),NumberOfTeams),NumberOfTeams+1)</f>
        <v>1</v>
      </c>
      <c r="B34" s="12">
        <f>_xlfn.XLOOKUP(33,OfficialTeamList[Row],OfficialTeamList[Team Number],"ERROR",0)</f>
        <v>0</v>
      </c>
      <c r="C34" s="42" t="str">
        <f>_xlfn.XLOOKUP(RobotDesignResults[[#This Row],[Team Number]],OfficialTeamList[Team Number],OfficialTeamList[Team Name],"",0,)</f>
        <v/>
      </c>
      <c r="G34" s="12"/>
      <c r="H34" s="12"/>
      <c r="I34" s="88">
        <f>IF(RobotGameScores[[#This Row],[Team Number]]&gt;0,MAX(RobotGameScores[[#This Row],[Robot Game 1 Score]:[Robot Game 5 Score]]),0)</f>
        <v>0</v>
      </c>
    </row>
    <row r="35" spans="1:9" ht="30" customHeight="1" x14ac:dyDescent="0.5">
      <c r="A35">
        <f>IF(RobotGameScores[[#This Row],[Team Number]]&gt;0,MIN(_xlfn.RANK.EQ(RobotGameScores[[#This Row],[Highest Robot Game Score]],RobotGameScores[Highest Robot Game Score],0),NumberOfTeams),NumberOfTeams+1)</f>
        <v>1</v>
      </c>
      <c r="B35" s="12">
        <f>_xlfn.XLOOKUP(34,OfficialTeamList[Row],OfficialTeamList[Team Number],"ERROR",0)</f>
        <v>0</v>
      </c>
      <c r="C35" s="42" t="str">
        <f>_xlfn.XLOOKUP(RobotDesignResults[[#This Row],[Team Number]],OfficialTeamList[Team Number],OfficialTeamList[Team Name],"",0,)</f>
        <v/>
      </c>
      <c r="G35" s="12"/>
      <c r="H35" s="12"/>
      <c r="I35" s="88">
        <f>IF(RobotGameScores[[#This Row],[Team Number]]&gt;0,MAX(RobotGameScores[[#This Row],[Robot Game 1 Score]:[Robot Game 5 Score]]),0)</f>
        <v>0</v>
      </c>
    </row>
    <row r="36" spans="1:9" ht="30" customHeight="1" x14ac:dyDescent="0.5">
      <c r="A36">
        <f>IF(RobotGameScores[[#This Row],[Team Number]]&gt;0,MIN(_xlfn.RANK.EQ(RobotGameScores[[#This Row],[Highest Robot Game Score]],RobotGameScores[Highest Robot Game Score],0),NumberOfTeams),NumberOfTeams+1)</f>
        <v>1</v>
      </c>
      <c r="B36" s="12">
        <f>_xlfn.XLOOKUP(35,OfficialTeamList[Row],OfficialTeamList[Team Number],"ERROR",0)</f>
        <v>0</v>
      </c>
      <c r="C36" s="42" t="str">
        <f>_xlfn.XLOOKUP(RobotDesignResults[[#This Row],[Team Number]],OfficialTeamList[Team Number],OfficialTeamList[Team Name],"",0,)</f>
        <v/>
      </c>
      <c r="G36" s="12"/>
      <c r="H36" s="12"/>
      <c r="I36" s="88">
        <f>IF(RobotGameScores[[#This Row],[Team Number]]&gt;0,MAX(RobotGameScores[[#This Row],[Robot Game 1 Score]:[Robot Game 5 Score]]),0)</f>
        <v>0</v>
      </c>
    </row>
    <row r="37" spans="1:9" ht="30" customHeight="1" x14ac:dyDescent="0.5">
      <c r="A37">
        <f>IF(RobotGameScores[[#This Row],[Team Number]]&gt;0,MIN(_xlfn.RANK.EQ(RobotGameScores[[#This Row],[Highest Robot Game Score]],RobotGameScores[Highest Robot Game Score],0),NumberOfTeams),NumberOfTeams+1)</f>
        <v>1</v>
      </c>
      <c r="B37" s="12">
        <f>_xlfn.XLOOKUP(36,OfficialTeamList[Row],OfficialTeamList[Team Number],"ERROR",0)</f>
        <v>0</v>
      </c>
      <c r="C37" s="42" t="str">
        <f>_xlfn.XLOOKUP(RobotDesignResults[[#This Row],[Team Number]],OfficialTeamList[Team Number],OfficialTeamList[Team Name],"",0,)</f>
        <v/>
      </c>
      <c r="G37" s="12"/>
      <c r="H37" s="12"/>
      <c r="I37" s="88">
        <f>IF(RobotGameScores[[#This Row],[Team Number]]&gt;0,MAX(RobotGameScores[[#This Row],[Robot Game 1 Score]:[Robot Game 5 Score]]),0)</f>
        <v>0</v>
      </c>
    </row>
    <row r="38" spans="1:9" ht="30" customHeight="1" x14ac:dyDescent="0.5">
      <c r="A38">
        <f>IF(RobotGameScores[[#This Row],[Team Number]]&gt;0,MIN(_xlfn.RANK.EQ(RobotGameScores[[#This Row],[Highest Robot Game Score]],RobotGameScores[Highest Robot Game Score],0),NumberOfTeams),NumberOfTeams+1)</f>
        <v>1</v>
      </c>
      <c r="B38" s="12">
        <f>_xlfn.XLOOKUP(37,OfficialTeamList[Row],OfficialTeamList[Team Number],"ERROR",0)</f>
        <v>0</v>
      </c>
      <c r="C38" s="42" t="str">
        <f>_xlfn.XLOOKUP(RobotDesignResults[[#This Row],[Team Number]],OfficialTeamList[Team Number],OfficialTeamList[Team Name],"",0,)</f>
        <v/>
      </c>
      <c r="G38" s="12"/>
      <c r="H38" s="12"/>
      <c r="I38" s="88">
        <f>IF(RobotGameScores[[#This Row],[Team Number]]&gt;0,MAX(RobotGameScores[[#This Row],[Robot Game 1 Score]:[Robot Game 5 Score]]),0)</f>
        <v>0</v>
      </c>
    </row>
    <row r="39" spans="1:9" ht="30" customHeight="1" x14ac:dyDescent="0.5">
      <c r="A39">
        <f>IF(RobotGameScores[[#This Row],[Team Number]]&gt;0,MIN(_xlfn.RANK.EQ(RobotGameScores[[#This Row],[Highest Robot Game Score]],RobotGameScores[Highest Robot Game Score],0),NumberOfTeams),NumberOfTeams+1)</f>
        <v>1</v>
      </c>
      <c r="B39" s="12">
        <f>_xlfn.XLOOKUP(38,OfficialTeamList[Row],OfficialTeamList[Team Number],"ERROR",0)</f>
        <v>0</v>
      </c>
      <c r="C39" s="42" t="str">
        <f>_xlfn.XLOOKUP(RobotDesignResults[[#This Row],[Team Number]],OfficialTeamList[Team Number],OfficialTeamList[Team Name],"",0,)</f>
        <v/>
      </c>
      <c r="G39" s="12"/>
      <c r="H39" s="12"/>
      <c r="I39" s="88">
        <f>IF(RobotGameScores[[#This Row],[Team Number]]&gt;0,MAX(RobotGameScores[[#This Row],[Robot Game 1 Score]:[Robot Game 5 Score]]),0)</f>
        <v>0</v>
      </c>
    </row>
    <row r="40" spans="1:9" ht="30" customHeight="1" x14ac:dyDescent="0.5">
      <c r="A40">
        <f>IF(RobotGameScores[[#This Row],[Team Number]]&gt;0,MIN(_xlfn.RANK.EQ(RobotGameScores[[#This Row],[Highest Robot Game Score]],RobotGameScores[Highest Robot Game Score],0),NumberOfTeams),NumberOfTeams+1)</f>
        <v>1</v>
      </c>
      <c r="B40" s="12">
        <f>_xlfn.XLOOKUP(39,OfficialTeamList[Row],OfficialTeamList[Team Number],"ERROR",0)</f>
        <v>0</v>
      </c>
      <c r="C40" s="42" t="str">
        <f>_xlfn.XLOOKUP(RobotDesignResults[[#This Row],[Team Number]],OfficialTeamList[Team Number],OfficialTeamList[Team Name],"",0,)</f>
        <v/>
      </c>
      <c r="G40" s="12"/>
      <c r="H40" s="12"/>
      <c r="I40" s="88">
        <f>IF(RobotGameScores[[#This Row],[Team Number]]&gt;0,MAX(RobotGameScores[[#This Row],[Robot Game 1 Score]:[Robot Game 5 Score]]),0)</f>
        <v>0</v>
      </c>
    </row>
    <row r="41" spans="1:9" ht="30" customHeight="1" x14ac:dyDescent="0.5">
      <c r="A41">
        <f>IF(RobotGameScores[[#This Row],[Team Number]]&gt;0,MIN(_xlfn.RANK.EQ(RobotGameScores[[#This Row],[Highest Robot Game Score]],RobotGameScores[Highest Robot Game Score],0),NumberOfTeams),NumberOfTeams+1)</f>
        <v>1</v>
      </c>
      <c r="B41" s="12">
        <f>_xlfn.XLOOKUP(40,OfficialTeamList[Row],OfficialTeamList[Team Number],"ERROR",0)</f>
        <v>0</v>
      </c>
      <c r="C41" s="42" t="str">
        <f>_xlfn.XLOOKUP(RobotDesignResults[[#This Row],[Team Number]],OfficialTeamList[Team Number],OfficialTeamList[Team Name],"",0,)</f>
        <v/>
      </c>
      <c r="G41" s="12"/>
      <c r="H41" s="12"/>
      <c r="I41" s="88">
        <f>IF(RobotGameScores[[#This Row],[Team Number]]&gt;0,MAX(RobotGameScores[[#This Row],[Robot Game 1 Score]:[Robot Game 5 Score]]),0)</f>
        <v>0</v>
      </c>
    </row>
    <row r="42" spans="1:9" ht="30" customHeight="1" x14ac:dyDescent="0.5">
      <c r="A42">
        <f>IF(RobotGameScores[[#This Row],[Team Number]]&gt;0,MIN(_xlfn.RANK.EQ(RobotGameScores[[#This Row],[Highest Robot Game Score]],RobotGameScores[Highest Robot Game Score],0),NumberOfTeams),NumberOfTeams+1)</f>
        <v>1</v>
      </c>
      <c r="B42" s="12">
        <f>_xlfn.XLOOKUP(41,OfficialTeamList[Row],OfficialTeamList[Team Number],"ERROR",0)</f>
        <v>0</v>
      </c>
      <c r="C42" s="42" t="str">
        <f>_xlfn.XLOOKUP(RobotDesignResults[[#This Row],[Team Number]],OfficialTeamList[Team Number],OfficialTeamList[Team Name],"",0,)</f>
        <v/>
      </c>
      <c r="G42" s="12"/>
      <c r="H42" s="12"/>
      <c r="I42" s="88">
        <f>IF(RobotGameScores[[#This Row],[Team Number]]&gt;0,MAX(RobotGameScores[[#This Row],[Robot Game 1 Score]:[Robot Game 5 Score]]),0)</f>
        <v>0</v>
      </c>
    </row>
    <row r="43" spans="1:9" ht="30" customHeight="1" x14ac:dyDescent="0.5">
      <c r="A43">
        <f>IF(RobotGameScores[[#This Row],[Team Number]]&gt;0,MIN(_xlfn.RANK.EQ(RobotGameScores[[#This Row],[Highest Robot Game Score]],RobotGameScores[Highest Robot Game Score],0),NumberOfTeams),NumberOfTeams+1)</f>
        <v>1</v>
      </c>
      <c r="B43" s="12">
        <f>_xlfn.XLOOKUP(42,OfficialTeamList[Row],OfficialTeamList[Team Number],"ERROR",0)</f>
        <v>0</v>
      </c>
      <c r="C43" s="42" t="str">
        <f>_xlfn.XLOOKUP(RobotDesignResults[[#This Row],[Team Number]],OfficialTeamList[Team Number],OfficialTeamList[Team Name],"",0,)</f>
        <v/>
      </c>
      <c r="G43" s="12"/>
      <c r="H43" s="12"/>
      <c r="I43" s="88">
        <f>IF(RobotGameScores[[#This Row],[Team Number]]&gt;0,MAX(RobotGameScores[[#This Row],[Robot Game 1 Score]:[Robot Game 5 Score]]),0)</f>
        <v>0</v>
      </c>
    </row>
    <row r="44" spans="1:9" ht="30" customHeight="1" x14ac:dyDescent="0.5">
      <c r="A44">
        <f>IF(RobotGameScores[[#This Row],[Team Number]]&gt;0,MIN(_xlfn.RANK.EQ(RobotGameScores[[#This Row],[Highest Robot Game Score]],RobotGameScores[Highest Robot Game Score],0),NumberOfTeams),NumberOfTeams+1)</f>
        <v>1</v>
      </c>
      <c r="B44" s="12">
        <f>_xlfn.XLOOKUP(43,OfficialTeamList[Row],OfficialTeamList[Team Number],"ERROR",0)</f>
        <v>0</v>
      </c>
      <c r="C44" s="42" t="str">
        <f>_xlfn.XLOOKUP(RobotDesignResults[[#This Row],[Team Number]],OfficialTeamList[Team Number],OfficialTeamList[Team Name],"",0,)</f>
        <v/>
      </c>
      <c r="G44" s="12"/>
      <c r="H44" s="12"/>
      <c r="I44" s="88">
        <f>IF(RobotGameScores[[#This Row],[Team Number]]&gt;0,MAX(RobotGameScores[[#This Row],[Robot Game 1 Score]:[Robot Game 5 Score]]),0)</f>
        <v>0</v>
      </c>
    </row>
    <row r="45" spans="1:9" ht="30" customHeight="1" x14ac:dyDescent="0.5">
      <c r="A45">
        <f>IF(RobotGameScores[[#This Row],[Team Number]]&gt;0,MIN(_xlfn.RANK.EQ(RobotGameScores[[#This Row],[Highest Robot Game Score]],RobotGameScores[Highest Robot Game Score],0),NumberOfTeams),NumberOfTeams+1)</f>
        <v>1</v>
      </c>
      <c r="B45" s="12">
        <f>_xlfn.XLOOKUP(44,OfficialTeamList[Row],OfficialTeamList[Team Number],"ERROR",0)</f>
        <v>0</v>
      </c>
      <c r="C45" s="42" t="str">
        <f>_xlfn.XLOOKUP(RobotDesignResults[[#This Row],[Team Number]],OfficialTeamList[Team Number],OfficialTeamList[Team Name],"",0,)</f>
        <v/>
      </c>
      <c r="G45" s="12"/>
      <c r="H45" s="12"/>
      <c r="I45" s="88">
        <f>IF(RobotGameScores[[#This Row],[Team Number]]&gt;0,MAX(RobotGameScores[[#This Row],[Robot Game 1 Score]:[Robot Game 5 Score]]),0)</f>
        <v>0</v>
      </c>
    </row>
    <row r="46" spans="1:9" ht="30" customHeight="1" x14ac:dyDescent="0.5">
      <c r="A46">
        <f>IF(RobotGameScores[[#This Row],[Team Number]]&gt;0,MIN(_xlfn.RANK.EQ(RobotGameScores[[#This Row],[Highest Robot Game Score]],RobotGameScores[Highest Robot Game Score],0),NumberOfTeams),NumberOfTeams+1)</f>
        <v>1</v>
      </c>
      <c r="B46" s="12">
        <f>_xlfn.XLOOKUP(45,OfficialTeamList[Row],OfficialTeamList[Team Number],"ERROR",0)</f>
        <v>0</v>
      </c>
      <c r="C46" s="42" t="str">
        <f>_xlfn.XLOOKUP(RobotDesignResults[[#This Row],[Team Number]],OfficialTeamList[Team Number],OfficialTeamList[Team Name],"",0,)</f>
        <v/>
      </c>
      <c r="G46" s="12"/>
      <c r="H46" s="12"/>
      <c r="I46" s="88">
        <f>IF(RobotGameScores[[#This Row],[Team Number]]&gt;0,MAX(RobotGameScores[[#This Row],[Robot Game 1 Score]:[Robot Game 5 Score]]),0)</f>
        <v>0</v>
      </c>
    </row>
    <row r="47" spans="1:9" ht="30" customHeight="1" x14ac:dyDescent="0.5">
      <c r="A47">
        <f>IF(RobotGameScores[[#This Row],[Team Number]]&gt;0,MIN(_xlfn.RANK.EQ(RobotGameScores[[#This Row],[Highest Robot Game Score]],RobotGameScores[Highest Robot Game Score],0),NumberOfTeams),NumberOfTeams+1)</f>
        <v>1</v>
      </c>
      <c r="B47" s="12">
        <f>_xlfn.XLOOKUP(46,OfficialTeamList[Row],OfficialTeamList[Team Number],"ERROR",0)</f>
        <v>0</v>
      </c>
      <c r="C47" s="42" t="str">
        <f>_xlfn.XLOOKUP(RobotDesignResults[[#This Row],[Team Number]],OfficialTeamList[Team Number],OfficialTeamList[Team Name],"",0,)</f>
        <v/>
      </c>
      <c r="G47" s="12"/>
      <c r="H47" s="12"/>
      <c r="I47" s="88">
        <f>IF(RobotGameScores[[#This Row],[Team Number]]&gt;0,MAX(RobotGameScores[[#This Row],[Robot Game 1 Score]:[Robot Game 5 Score]]),0)</f>
        <v>0</v>
      </c>
    </row>
    <row r="48" spans="1:9" ht="30" customHeight="1" x14ac:dyDescent="0.5">
      <c r="A48">
        <f>IF(RobotGameScores[[#This Row],[Team Number]]&gt;0,MIN(_xlfn.RANK.EQ(RobotGameScores[[#This Row],[Highest Robot Game Score]],RobotGameScores[Highest Robot Game Score],0),NumberOfTeams),NumberOfTeams+1)</f>
        <v>1</v>
      </c>
      <c r="B48" s="12">
        <f>_xlfn.XLOOKUP(47,OfficialTeamList[Row],OfficialTeamList[Team Number],"ERROR",0)</f>
        <v>0</v>
      </c>
      <c r="C48" s="42" t="str">
        <f>_xlfn.XLOOKUP(RobotDesignResults[[#This Row],[Team Number]],OfficialTeamList[Team Number],OfficialTeamList[Team Name],"",0,)</f>
        <v/>
      </c>
      <c r="G48" s="12"/>
      <c r="H48" s="12"/>
      <c r="I48" s="88">
        <f>IF(RobotGameScores[[#This Row],[Team Number]]&gt;0,MAX(RobotGameScores[[#This Row],[Robot Game 1 Score]:[Robot Game 5 Score]]),0)</f>
        <v>0</v>
      </c>
    </row>
    <row r="49" spans="1:9" ht="30" customHeight="1" x14ac:dyDescent="0.5">
      <c r="A49">
        <f>IF(RobotGameScores[[#This Row],[Team Number]]&gt;0,MIN(_xlfn.RANK.EQ(RobotGameScores[[#This Row],[Highest Robot Game Score]],RobotGameScores[Highest Robot Game Score],0),NumberOfTeams),NumberOfTeams+1)</f>
        <v>1</v>
      </c>
      <c r="B49" s="12">
        <f>_xlfn.XLOOKUP(48,OfficialTeamList[Row],OfficialTeamList[Team Number],"ERROR",0)</f>
        <v>0</v>
      </c>
      <c r="C49" s="42" t="str">
        <f>_xlfn.XLOOKUP(RobotDesignResults[[#This Row],[Team Number]],OfficialTeamList[Team Number],OfficialTeamList[Team Name],"",0,)</f>
        <v/>
      </c>
      <c r="G49" s="12"/>
      <c r="H49" s="12"/>
      <c r="I49" s="88">
        <f>IF(RobotGameScores[[#This Row],[Team Number]]&gt;0,MAX(RobotGameScores[[#This Row],[Robot Game 1 Score]:[Robot Game 5 Score]]),0)</f>
        <v>0</v>
      </c>
    </row>
    <row r="50" spans="1:9" ht="30" customHeight="1" x14ac:dyDescent="0.5">
      <c r="A50">
        <f>IF(RobotGameScores[[#This Row],[Team Number]]&gt;0,MIN(_xlfn.RANK.EQ(RobotGameScores[[#This Row],[Highest Robot Game Score]],RobotGameScores[Highest Robot Game Score],0),NumberOfTeams),NumberOfTeams+1)</f>
        <v>1</v>
      </c>
      <c r="B50" s="12">
        <f>_xlfn.XLOOKUP(49,OfficialTeamList[Row],OfficialTeamList[Team Number],"ERROR",0)</f>
        <v>0</v>
      </c>
      <c r="C50" s="42" t="str">
        <f>_xlfn.XLOOKUP(RobotDesignResults[[#This Row],[Team Number]],OfficialTeamList[Team Number],OfficialTeamList[Team Name],"",0,)</f>
        <v/>
      </c>
      <c r="G50" s="12"/>
      <c r="H50" s="12"/>
      <c r="I50" s="88">
        <f>IF(RobotGameScores[[#This Row],[Team Number]]&gt;0,MAX(RobotGameScores[[#This Row],[Robot Game 1 Score]:[Robot Game 5 Score]]),0)</f>
        <v>0</v>
      </c>
    </row>
    <row r="51" spans="1:9" ht="30" customHeight="1" x14ac:dyDescent="0.5">
      <c r="A51">
        <f>IF(RobotGameScores[[#This Row],[Team Number]]&gt;0,MIN(_xlfn.RANK.EQ(RobotGameScores[[#This Row],[Highest Robot Game Score]],RobotGameScores[Highest Robot Game Score],0),NumberOfTeams),NumberOfTeams+1)</f>
        <v>1</v>
      </c>
      <c r="B51" s="12">
        <f>_xlfn.XLOOKUP(50,OfficialTeamList[Row],OfficialTeamList[Team Number],"ERROR",0)</f>
        <v>0</v>
      </c>
      <c r="C51" s="42" t="str">
        <f>_xlfn.XLOOKUP(RobotDesignResults[[#This Row],[Team Number]],OfficialTeamList[Team Number],OfficialTeamList[Team Name],"",0,)</f>
        <v/>
      </c>
      <c r="G51" s="12"/>
      <c r="H51" s="12"/>
      <c r="I51" s="88">
        <f>IF(RobotGameScores[[#This Row],[Team Number]]&gt;0,MAX(RobotGameScores[[#This Row],[Robot Game 1 Score]:[Robot Game 5 Score]]),0)</f>
        <v>0</v>
      </c>
    </row>
    <row r="52" spans="1:9" ht="30" customHeight="1" x14ac:dyDescent="0.5">
      <c r="A52">
        <f>IF(RobotGameScores[[#This Row],[Team Number]]&gt;0,MIN(_xlfn.RANK.EQ(RobotGameScores[[#This Row],[Highest Robot Game Score]],RobotGameScores[Highest Robot Game Score],0),NumberOfTeams),NumberOfTeams+1)</f>
        <v>1</v>
      </c>
      <c r="B52" s="12">
        <f>_xlfn.XLOOKUP(51,OfficialTeamList[Row],OfficialTeamList[Team Number],"ERROR",0)</f>
        <v>0</v>
      </c>
      <c r="C52" s="42" t="str">
        <f>_xlfn.XLOOKUP(RobotDesignResults[[#This Row],[Team Number]],OfficialTeamList[Team Number],OfficialTeamList[Team Name],"",0,)</f>
        <v/>
      </c>
      <c r="G52" s="12"/>
      <c r="H52" s="12"/>
      <c r="I52" s="88">
        <f>IF(RobotGameScores[[#This Row],[Team Number]]&gt;0,MAX(RobotGameScores[[#This Row],[Robot Game 1 Score]:[Robot Game 5 Score]]),0)</f>
        <v>0</v>
      </c>
    </row>
    <row r="53" spans="1:9" ht="30" customHeight="1" x14ac:dyDescent="0.5">
      <c r="A53">
        <f>IF(RobotGameScores[[#This Row],[Team Number]]&gt;0,MIN(_xlfn.RANK.EQ(RobotGameScores[[#This Row],[Highest Robot Game Score]],RobotGameScores[Highest Robot Game Score],0),NumberOfTeams),NumberOfTeams+1)</f>
        <v>1</v>
      </c>
      <c r="B53" s="12">
        <f>_xlfn.XLOOKUP(52,OfficialTeamList[Row],OfficialTeamList[Team Number],"ERROR",0)</f>
        <v>0</v>
      </c>
      <c r="C53" s="42" t="str">
        <f>_xlfn.XLOOKUP(RobotDesignResults[[#This Row],[Team Number]],OfficialTeamList[Team Number],OfficialTeamList[Team Name],"",0,)</f>
        <v/>
      </c>
      <c r="G53" s="12"/>
      <c r="H53" s="12"/>
      <c r="I53" s="88">
        <f>IF(RobotGameScores[[#This Row],[Team Number]]&gt;0,MAX(RobotGameScores[[#This Row],[Robot Game 1 Score]:[Robot Game 5 Score]]),0)</f>
        <v>0</v>
      </c>
    </row>
    <row r="54" spans="1:9" ht="30" customHeight="1" x14ac:dyDescent="0.5">
      <c r="A54">
        <f>IF(RobotGameScores[[#This Row],[Team Number]]&gt;0,MIN(_xlfn.RANK.EQ(RobotGameScores[[#This Row],[Highest Robot Game Score]],RobotGameScores[Highest Robot Game Score],0),NumberOfTeams),NumberOfTeams+1)</f>
        <v>1</v>
      </c>
      <c r="B54" s="12">
        <f>_xlfn.XLOOKUP(53,OfficialTeamList[Row],OfficialTeamList[Team Number],"ERROR",0)</f>
        <v>0</v>
      </c>
      <c r="C54" s="42" t="str">
        <f>_xlfn.XLOOKUP(RobotDesignResults[[#This Row],[Team Number]],OfficialTeamList[Team Number],OfficialTeamList[Team Name],"",0,)</f>
        <v/>
      </c>
      <c r="G54" s="12"/>
      <c r="H54" s="12"/>
      <c r="I54" s="88">
        <f>IF(RobotGameScores[[#This Row],[Team Number]]&gt;0,MAX(RobotGameScores[[#This Row],[Robot Game 1 Score]:[Robot Game 5 Score]]),0)</f>
        <v>0</v>
      </c>
    </row>
    <row r="55" spans="1:9" ht="30" customHeight="1" x14ac:dyDescent="0.5">
      <c r="A55">
        <f>IF(RobotGameScores[[#This Row],[Team Number]]&gt;0,MIN(_xlfn.RANK.EQ(RobotGameScores[[#This Row],[Highest Robot Game Score]],RobotGameScores[Highest Robot Game Score],0),NumberOfTeams),NumberOfTeams+1)</f>
        <v>1</v>
      </c>
      <c r="B55" s="12">
        <f>_xlfn.XLOOKUP(54,OfficialTeamList[Row],OfficialTeamList[Team Number],"ERROR",0)</f>
        <v>0</v>
      </c>
      <c r="C55" s="42" t="str">
        <f>_xlfn.XLOOKUP(RobotDesignResults[[#This Row],[Team Number]],OfficialTeamList[Team Number],OfficialTeamList[Team Name],"",0,)</f>
        <v/>
      </c>
      <c r="G55" s="12"/>
      <c r="H55" s="12"/>
      <c r="I55" s="88">
        <f>IF(RobotGameScores[[#This Row],[Team Number]]&gt;0,MAX(RobotGameScores[[#This Row],[Robot Game 1 Score]:[Robot Game 5 Score]]),0)</f>
        <v>0</v>
      </c>
    </row>
    <row r="56" spans="1:9" ht="30" customHeight="1" x14ac:dyDescent="0.5">
      <c r="A56">
        <f>IF(RobotGameScores[[#This Row],[Team Number]]&gt;0,MIN(_xlfn.RANK.EQ(RobotGameScores[[#This Row],[Highest Robot Game Score]],RobotGameScores[Highest Robot Game Score],0),NumberOfTeams),NumberOfTeams+1)</f>
        <v>1</v>
      </c>
      <c r="B56" s="12">
        <f>_xlfn.XLOOKUP(55,OfficialTeamList[Row],OfficialTeamList[Team Number],"ERROR",0)</f>
        <v>0</v>
      </c>
      <c r="C56" s="42" t="str">
        <f>_xlfn.XLOOKUP(RobotDesignResults[[#This Row],[Team Number]],OfficialTeamList[Team Number],OfficialTeamList[Team Name],"",0,)</f>
        <v/>
      </c>
      <c r="G56" s="12"/>
      <c r="H56" s="12"/>
      <c r="I56" s="88">
        <f>IF(RobotGameScores[[#This Row],[Team Number]]&gt;0,MAX(RobotGameScores[[#This Row],[Robot Game 1 Score]:[Robot Game 5 Score]]),0)</f>
        <v>0</v>
      </c>
    </row>
    <row r="57" spans="1:9" ht="30" customHeight="1" x14ac:dyDescent="0.5">
      <c r="A57">
        <f>IF(RobotGameScores[[#This Row],[Team Number]]&gt;0,MIN(_xlfn.RANK.EQ(RobotGameScores[[#This Row],[Highest Robot Game Score]],RobotGameScores[Highest Robot Game Score],0),NumberOfTeams),NumberOfTeams+1)</f>
        <v>1</v>
      </c>
      <c r="B57" s="12">
        <f>_xlfn.XLOOKUP(56,OfficialTeamList[Row],OfficialTeamList[Team Number],"ERROR",0)</f>
        <v>0</v>
      </c>
      <c r="C57" s="42" t="str">
        <f>_xlfn.XLOOKUP(RobotDesignResults[[#This Row],[Team Number]],OfficialTeamList[Team Number],OfficialTeamList[Team Name],"",0,)</f>
        <v/>
      </c>
      <c r="G57" s="12"/>
      <c r="H57" s="12"/>
      <c r="I57" s="88">
        <f>IF(RobotGameScores[[#This Row],[Team Number]]&gt;0,MAX(RobotGameScores[[#This Row],[Robot Game 1 Score]:[Robot Game 5 Score]]),0)</f>
        <v>0</v>
      </c>
    </row>
    <row r="58" spans="1:9" ht="30" customHeight="1" x14ac:dyDescent="0.5">
      <c r="A58">
        <f>IF(RobotGameScores[[#This Row],[Team Number]]&gt;0,MIN(_xlfn.RANK.EQ(RobotGameScores[[#This Row],[Highest Robot Game Score]],RobotGameScores[Highest Robot Game Score],0),NumberOfTeams),NumberOfTeams+1)</f>
        <v>1</v>
      </c>
      <c r="B58" s="12">
        <f>_xlfn.XLOOKUP(57,OfficialTeamList[Row],OfficialTeamList[Team Number],"ERROR",0)</f>
        <v>0</v>
      </c>
      <c r="C58" s="42" t="str">
        <f>_xlfn.XLOOKUP(RobotDesignResults[[#This Row],[Team Number]],OfficialTeamList[Team Number],OfficialTeamList[Team Name],"",0,)</f>
        <v/>
      </c>
      <c r="G58" s="12"/>
      <c r="H58" s="12"/>
      <c r="I58" s="88">
        <f>IF(RobotGameScores[[#This Row],[Team Number]]&gt;0,MAX(RobotGameScores[[#This Row],[Robot Game 1 Score]:[Robot Game 5 Score]]),0)</f>
        <v>0</v>
      </c>
    </row>
    <row r="59" spans="1:9" ht="30" customHeight="1" x14ac:dyDescent="0.5">
      <c r="A59">
        <f>IF(RobotGameScores[[#This Row],[Team Number]]&gt;0,MIN(_xlfn.RANK.EQ(RobotGameScores[[#This Row],[Highest Robot Game Score]],RobotGameScores[Highest Robot Game Score],0),NumberOfTeams),NumberOfTeams+1)</f>
        <v>1</v>
      </c>
      <c r="B59" s="12">
        <f>_xlfn.XLOOKUP(58,OfficialTeamList[Row],OfficialTeamList[Team Number],"ERROR",0)</f>
        <v>0</v>
      </c>
      <c r="C59" s="42" t="str">
        <f>_xlfn.XLOOKUP(RobotDesignResults[[#This Row],[Team Number]],OfficialTeamList[Team Number],OfficialTeamList[Team Name],"",0,)</f>
        <v/>
      </c>
      <c r="G59" s="12"/>
      <c r="H59" s="12"/>
      <c r="I59" s="88">
        <f>IF(RobotGameScores[[#This Row],[Team Number]]&gt;0,MAX(RobotGameScores[[#This Row],[Robot Game 1 Score]:[Robot Game 5 Score]]),0)</f>
        <v>0</v>
      </c>
    </row>
    <row r="60" spans="1:9" ht="30" customHeight="1" x14ac:dyDescent="0.5">
      <c r="A60">
        <f>IF(RobotGameScores[[#This Row],[Team Number]]&gt;0,MIN(_xlfn.RANK.EQ(RobotGameScores[[#This Row],[Highest Robot Game Score]],RobotGameScores[Highest Robot Game Score],0),NumberOfTeams),NumberOfTeams+1)</f>
        <v>1</v>
      </c>
      <c r="B60" s="12">
        <f>_xlfn.XLOOKUP(59,OfficialTeamList[Row],OfficialTeamList[Team Number],"ERROR",0)</f>
        <v>0</v>
      </c>
      <c r="C60" s="42" t="str">
        <f>_xlfn.XLOOKUP(RobotDesignResults[[#This Row],[Team Number]],OfficialTeamList[Team Number],OfficialTeamList[Team Name],"",0,)</f>
        <v/>
      </c>
      <c r="G60" s="12"/>
      <c r="H60" s="12"/>
      <c r="I60" s="88">
        <f>IF(RobotGameScores[[#This Row],[Team Number]]&gt;0,MAX(RobotGameScores[[#This Row],[Robot Game 1 Score]:[Robot Game 5 Score]]),0)</f>
        <v>0</v>
      </c>
    </row>
    <row r="61" spans="1:9" ht="30" customHeight="1" x14ac:dyDescent="0.5">
      <c r="A61">
        <f>IF(RobotGameScores[[#This Row],[Team Number]]&gt;0,MIN(_xlfn.RANK.EQ(RobotGameScores[[#This Row],[Highest Robot Game Score]],RobotGameScores[Highest Robot Game Score],0),NumberOfTeams),NumberOfTeams+1)</f>
        <v>1</v>
      </c>
      <c r="B61" s="12">
        <f>_xlfn.XLOOKUP(60,OfficialTeamList[Row],OfficialTeamList[Team Number],"ERROR",0)</f>
        <v>0</v>
      </c>
      <c r="C61" s="42" t="str">
        <f>_xlfn.XLOOKUP(RobotDesignResults[[#This Row],[Team Number]],OfficialTeamList[Team Number],OfficialTeamList[Team Name],"",0,)</f>
        <v/>
      </c>
      <c r="G61" s="12"/>
      <c r="H61" s="12"/>
      <c r="I61" s="88">
        <f>IF(RobotGameScores[[#This Row],[Team Number]]&gt;0,MAX(RobotGameScores[[#This Row],[Robot Game 1 Score]:[Robot Game 5 Score]]),0)</f>
        <v>0</v>
      </c>
    </row>
    <row r="62" spans="1:9" ht="30" customHeight="1" x14ac:dyDescent="0.5">
      <c r="A62">
        <f>IF(RobotGameScores[[#This Row],[Team Number]]&gt;0,MIN(_xlfn.RANK.EQ(RobotGameScores[[#This Row],[Highest Robot Game Score]],RobotGameScores[Highest Robot Game Score],0),NumberOfTeams),NumberOfTeams+1)</f>
        <v>1</v>
      </c>
      <c r="B62" s="12">
        <f>_xlfn.XLOOKUP(61,OfficialTeamList[Row],OfficialTeamList[Team Number],"ERROR",0)</f>
        <v>0</v>
      </c>
      <c r="C62" s="42" t="str">
        <f>_xlfn.XLOOKUP(RobotDesignResults[[#This Row],[Team Number]],OfficialTeamList[Team Number],OfficialTeamList[Team Name],"",0,)</f>
        <v/>
      </c>
      <c r="G62" s="12"/>
      <c r="H62" s="12"/>
      <c r="I62" s="88">
        <f>IF(RobotGameScores[[#This Row],[Team Number]]&gt;0,MAX(RobotGameScores[[#This Row],[Robot Game 1 Score]:[Robot Game 5 Score]]),0)</f>
        <v>0</v>
      </c>
    </row>
    <row r="63" spans="1:9" ht="30" customHeight="1" x14ac:dyDescent="0.5">
      <c r="A63">
        <f>IF(RobotGameScores[[#This Row],[Team Number]]&gt;0,MIN(_xlfn.RANK.EQ(RobotGameScores[[#This Row],[Highest Robot Game Score]],RobotGameScores[Highest Robot Game Score],0),NumberOfTeams),NumberOfTeams+1)</f>
        <v>1</v>
      </c>
      <c r="B63" s="12">
        <f>_xlfn.XLOOKUP(62,OfficialTeamList[Row],OfficialTeamList[Team Number],"ERROR",0)</f>
        <v>0</v>
      </c>
      <c r="C63" s="42" t="str">
        <f>_xlfn.XLOOKUP(RobotDesignResults[[#This Row],[Team Number]],OfficialTeamList[Team Number],OfficialTeamList[Team Name],"",0,)</f>
        <v/>
      </c>
      <c r="G63" s="12"/>
      <c r="H63" s="12"/>
      <c r="I63" s="88">
        <f>IF(RobotGameScores[[#This Row],[Team Number]]&gt;0,MAX(RobotGameScores[[#This Row],[Robot Game 1 Score]:[Robot Game 5 Score]]),0)</f>
        <v>0</v>
      </c>
    </row>
    <row r="64" spans="1:9" ht="30" customHeight="1" x14ac:dyDescent="0.5">
      <c r="A64">
        <f>IF(RobotGameScores[[#This Row],[Team Number]]&gt;0,MIN(_xlfn.RANK.EQ(RobotGameScores[[#This Row],[Highest Robot Game Score]],RobotGameScores[Highest Robot Game Score],0),NumberOfTeams),NumberOfTeams+1)</f>
        <v>1</v>
      </c>
      <c r="B64" s="12">
        <f>_xlfn.XLOOKUP(63,OfficialTeamList[Row],OfficialTeamList[Team Number],"ERROR",0)</f>
        <v>0</v>
      </c>
      <c r="C64" s="42" t="str">
        <f>_xlfn.XLOOKUP(RobotDesignResults[[#This Row],[Team Number]],OfficialTeamList[Team Number],OfficialTeamList[Team Name],"",0,)</f>
        <v/>
      </c>
      <c r="G64" s="12"/>
      <c r="H64" s="12"/>
      <c r="I64" s="88">
        <f>IF(RobotGameScores[[#This Row],[Team Number]]&gt;0,MAX(RobotGameScores[[#This Row],[Robot Game 1 Score]:[Robot Game 5 Score]]),0)</f>
        <v>0</v>
      </c>
    </row>
    <row r="65" spans="1:9" ht="30" customHeight="1" x14ac:dyDescent="0.5">
      <c r="A65">
        <f>IF(RobotGameScores[[#This Row],[Team Number]]&gt;0,MIN(_xlfn.RANK.EQ(RobotGameScores[[#This Row],[Highest Robot Game Score]],RobotGameScores[Highest Robot Game Score],0),NumberOfTeams),NumberOfTeams+1)</f>
        <v>1</v>
      </c>
      <c r="B65" s="12">
        <f>_xlfn.XLOOKUP(64,OfficialTeamList[Row],OfficialTeamList[Team Number],"ERROR",0)</f>
        <v>0</v>
      </c>
      <c r="C65" s="42" t="str">
        <f>_xlfn.XLOOKUP(RobotDesignResults[[#This Row],[Team Number]],OfficialTeamList[Team Number],OfficialTeamList[Team Name],"",0,)</f>
        <v/>
      </c>
      <c r="G65" s="12"/>
      <c r="H65" s="12"/>
      <c r="I65" s="88">
        <f>IF(RobotGameScores[[#This Row],[Team Number]]&gt;0,MAX(RobotGameScores[[#This Row],[Robot Game 1 Score]:[Robot Game 5 Score]]),0)</f>
        <v>0</v>
      </c>
    </row>
    <row r="66" spans="1:9" ht="30" customHeight="1" x14ac:dyDescent="0.5">
      <c r="A66">
        <f>IF(RobotGameScores[[#This Row],[Team Number]]&gt;0,MIN(_xlfn.RANK.EQ(RobotGameScores[[#This Row],[Highest Robot Game Score]],RobotGameScores[Highest Robot Game Score],0),NumberOfTeams),NumberOfTeams+1)</f>
        <v>1</v>
      </c>
      <c r="B66" s="12">
        <f>_xlfn.XLOOKUP(65,OfficialTeamList[Row],OfficialTeamList[Team Number],"ERROR",0)</f>
        <v>0</v>
      </c>
      <c r="C66" s="42" t="str">
        <f>_xlfn.XLOOKUP(RobotDesignResults[[#This Row],[Team Number]],OfficialTeamList[Team Number],OfficialTeamList[Team Name],"",0,)</f>
        <v/>
      </c>
      <c r="G66" s="12"/>
      <c r="H66" s="12"/>
      <c r="I66" s="88">
        <f>IF(RobotGameScores[[#This Row],[Team Number]]&gt;0,MAX(RobotGameScores[[#This Row],[Robot Game 1 Score]:[Robot Game 5 Score]]),0)</f>
        <v>0</v>
      </c>
    </row>
    <row r="67" spans="1:9" ht="30" customHeight="1" x14ac:dyDescent="0.5">
      <c r="A67">
        <f>IF(RobotGameScores[[#This Row],[Team Number]]&gt;0,MIN(_xlfn.RANK.EQ(RobotGameScores[[#This Row],[Highest Robot Game Score]],RobotGameScores[Highest Robot Game Score],0),NumberOfTeams),NumberOfTeams+1)</f>
        <v>1</v>
      </c>
      <c r="B67" s="12">
        <f>_xlfn.XLOOKUP(66,OfficialTeamList[Row],OfficialTeamList[Team Number],"ERROR",0)</f>
        <v>0</v>
      </c>
      <c r="C67" s="42" t="str">
        <f>_xlfn.XLOOKUP(RobotDesignResults[[#This Row],[Team Number]],OfficialTeamList[Team Number],OfficialTeamList[Team Name],"",0,)</f>
        <v/>
      </c>
      <c r="G67" s="12"/>
      <c r="H67" s="12"/>
      <c r="I67" s="88">
        <f>IF(RobotGameScores[[#This Row],[Team Number]]&gt;0,MAX(RobotGameScores[[#This Row],[Robot Game 1 Score]:[Robot Game 5 Score]]),0)</f>
        <v>0</v>
      </c>
    </row>
    <row r="68" spans="1:9" ht="30" customHeight="1" x14ac:dyDescent="0.5">
      <c r="A68">
        <f>IF(RobotGameScores[[#This Row],[Team Number]]&gt;0,MIN(_xlfn.RANK.EQ(RobotGameScores[[#This Row],[Highest Robot Game Score]],RobotGameScores[Highest Robot Game Score],0),NumberOfTeams),NumberOfTeams+1)</f>
        <v>1</v>
      </c>
      <c r="B68" s="12">
        <f>_xlfn.XLOOKUP(67,OfficialTeamList[Row],OfficialTeamList[Team Number],"ERROR",0)</f>
        <v>0</v>
      </c>
      <c r="C68" s="42" t="str">
        <f>_xlfn.XLOOKUP(RobotDesignResults[[#This Row],[Team Number]],OfficialTeamList[Team Number],OfficialTeamList[Team Name],"",0,)</f>
        <v/>
      </c>
      <c r="G68" s="12"/>
      <c r="H68" s="12"/>
      <c r="I68" s="88">
        <f>IF(RobotGameScores[[#This Row],[Team Number]]&gt;0,MAX(RobotGameScores[[#This Row],[Robot Game 1 Score]:[Robot Game 5 Score]]),0)</f>
        <v>0</v>
      </c>
    </row>
    <row r="69" spans="1:9" ht="30" customHeight="1" x14ac:dyDescent="0.5">
      <c r="A69">
        <f>IF(RobotGameScores[[#This Row],[Team Number]]&gt;0,MIN(_xlfn.RANK.EQ(RobotGameScores[[#This Row],[Highest Robot Game Score]],RobotGameScores[Highest Robot Game Score],0),NumberOfTeams),NumberOfTeams+1)</f>
        <v>1</v>
      </c>
      <c r="B69" s="12">
        <f>_xlfn.XLOOKUP(68,OfficialTeamList[Row],OfficialTeamList[Team Number],"ERROR",0)</f>
        <v>0</v>
      </c>
      <c r="C69" s="42" t="str">
        <f>_xlfn.XLOOKUP(RobotDesignResults[[#This Row],[Team Number]],OfficialTeamList[Team Number],OfficialTeamList[Team Name],"",0,)</f>
        <v/>
      </c>
      <c r="G69" s="12"/>
      <c r="H69" s="12"/>
      <c r="I69" s="88">
        <f>IF(RobotGameScores[[#This Row],[Team Number]]&gt;0,MAX(RobotGameScores[[#This Row],[Robot Game 1 Score]:[Robot Game 5 Score]]),0)</f>
        <v>0</v>
      </c>
    </row>
    <row r="70" spans="1:9" ht="30" customHeight="1" x14ac:dyDescent="0.5">
      <c r="A70">
        <f>IF(RobotGameScores[[#This Row],[Team Number]]&gt;0,MIN(_xlfn.RANK.EQ(RobotGameScores[[#This Row],[Highest Robot Game Score]],RobotGameScores[Highest Robot Game Score],0),NumberOfTeams),NumberOfTeams+1)</f>
        <v>1</v>
      </c>
      <c r="B70" s="12">
        <f>_xlfn.XLOOKUP(69,OfficialTeamList[Row],OfficialTeamList[Team Number],"ERROR",0)</f>
        <v>0</v>
      </c>
      <c r="C70" s="42" t="str">
        <f>_xlfn.XLOOKUP(RobotDesignResults[[#This Row],[Team Number]],OfficialTeamList[Team Number],OfficialTeamList[Team Name],"",0,)</f>
        <v/>
      </c>
      <c r="G70" s="12"/>
      <c r="H70" s="12"/>
      <c r="I70" s="88">
        <f>IF(RobotGameScores[[#This Row],[Team Number]]&gt;0,MAX(RobotGameScores[[#This Row],[Robot Game 1 Score]:[Robot Game 5 Score]]),0)</f>
        <v>0</v>
      </c>
    </row>
    <row r="71" spans="1:9" ht="30" customHeight="1" x14ac:dyDescent="0.5">
      <c r="A71">
        <f>IF(RobotGameScores[[#This Row],[Team Number]]&gt;0,MIN(_xlfn.RANK.EQ(RobotGameScores[[#This Row],[Highest Robot Game Score]],RobotGameScores[Highest Robot Game Score],0),NumberOfTeams),NumberOfTeams+1)</f>
        <v>1</v>
      </c>
      <c r="B71" s="12">
        <f>_xlfn.XLOOKUP(70,OfficialTeamList[Row],OfficialTeamList[Team Number],"ERROR",0)</f>
        <v>0</v>
      </c>
      <c r="C71" s="42" t="str">
        <f>_xlfn.XLOOKUP(RobotDesignResults[[#This Row],[Team Number]],OfficialTeamList[Team Number],OfficialTeamList[Team Name],"",0,)</f>
        <v/>
      </c>
      <c r="G71" s="12"/>
      <c r="H71" s="12"/>
      <c r="I71" s="88">
        <f>IF(RobotGameScores[[#This Row],[Team Number]]&gt;0,MAX(RobotGameScores[[#This Row],[Robot Game 1 Score]:[Robot Game 5 Score]]),0)</f>
        <v>0</v>
      </c>
    </row>
    <row r="72" spans="1:9" ht="30" customHeight="1" x14ac:dyDescent="0.5">
      <c r="A72">
        <f>IF(RobotGameScores[[#This Row],[Team Number]]&gt;0,MIN(_xlfn.RANK.EQ(RobotGameScores[[#This Row],[Highest Robot Game Score]],RobotGameScores[Highest Robot Game Score],0),NumberOfTeams),NumberOfTeams+1)</f>
        <v>1</v>
      </c>
      <c r="B72" s="12">
        <f>_xlfn.XLOOKUP(71,OfficialTeamList[Row],OfficialTeamList[Team Number],"ERROR",0)</f>
        <v>0</v>
      </c>
      <c r="C72" s="42" t="str">
        <f>_xlfn.XLOOKUP(RobotDesignResults[[#This Row],[Team Number]],OfficialTeamList[Team Number],OfficialTeamList[Team Name],"",0,)</f>
        <v/>
      </c>
      <c r="G72" s="12"/>
      <c r="H72" s="12"/>
      <c r="I72" s="88">
        <f>IF(RobotGameScores[[#This Row],[Team Number]]&gt;0,MAX(RobotGameScores[[#This Row],[Robot Game 1 Score]:[Robot Game 5 Score]]),0)</f>
        <v>0</v>
      </c>
    </row>
    <row r="73" spans="1:9" ht="30" customHeight="1" x14ac:dyDescent="0.5">
      <c r="A73">
        <f>IF(RobotGameScores[[#This Row],[Team Number]]&gt;0,MIN(_xlfn.RANK.EQ(RobotGameScores[[#This Row],[Highest Robot Game Score]],RobotGameScores[Highest Robot Game Score],0),NumberOfTeams),NumberOfTeams+1)</f>
        <v>1</v>
      </c>
      <c r="B73" s="12">
        <f>_xlfn.XLOOKUP(72,OfficialTeamList[Row],OfficialTeamList[Team Number],"ERROR",0)</f>
        <v>0</v>
      </c>
      <c r="C73" s="42" t="str">
        <f>_xlfn.XLOOKUP(RobotDesignResults[[#This Row],[Team Number]],OfficialTeamList[Team Number],OfficialTeamList[Team Name],"",0,)</f>
        <v/>
      </c>
      <c r="G73" s="12"/>
      <c r="H73" s="12"/>
      <c r="I73" s="88">
        <f>IF(RobotGameScores[[#This Row],[Team Number]]&gt;0,MAX(RobotGameScores[[#This Row],[Robot Game 1 Score]:[Robot Game 5 Score]]),0)</f>
        <v>0</v>
      </c>
    </row>
    <row r="74" spans="1:9" ht="30" customHeight="1" x14ac:dyDescent="0.5">
      <c r="A74">
        <f>IF(RobotGameScores[[#This Row],[Team Number]]&gt;0,MIN(_xlfn.RANK.EQ(RobotGameScores[[#This Row],[Highest Robot Game Score]],RobotGameScores[Highest Robot Game Score],0),NumberOfTeams),NumberOfTeams+1)</f>
        <v>1</v>
      </c>
      <c r="B74" s="12">
        <f>_xlfn.XLOOKUP(73,OfficialTeamList[Row],OfficialTeamList[Team Number],"ERROR",0)</f>
        <v>0</v>
      </c>
      <c r="C74" s="42" t="str">
        <f>_xlfn.XLOOKUP(RobotDesignResults[[#This Row],[Team Number]],OfficialTeamList[Team Number],OfficialTeamList[Team Name],"",0,)</f>
        <v/>
      </c>
      <c r="G74" s="12"/>
      <c r="H74" s="12"/>
      <c r="I74" s="88">
        <f>IF(RobotGameScores[[#This Row],[Team Number]]&gt;0,MAX(RobotGameScores[[#This Row],[Robot Game 1 Score]:[Robot Game 5 Score]]),0)</f>
        <v>0</v>
      </c>
    </row>
    <row r="75" spans="1:9" ht="30" customHeight="1" x14ac:dyDescent="0.5">
      <c r="A75">
        <f>IF(RobotGameScores[[#This Row],[Team Number]]&gt;0,MIN(_xlfn.RANK.EQ(RobotGameScores[[#This Row],[Highest Robot Game Score]],RobotGameScores[Highest Robot Game Score],0),NumberOfTeams),NumberOfTeams+1)</f>
        <v>1</v>
      </c>
      <c r="B75" s="12">
        <f>_xlfn.XLOOKUP(74,OfficialTeamList[Row],OfficialTeamList[Team Number],"ERROR",0)</f>
        <v>0</v>
      </c>
      <c r="C75" s="42" t="str">
        <f>_xlfn.XLOOKUP(RobotDesignResults[[#This Row],[Team Number]],OfficialTeamList[Team Number],OfficialTeamList[Team Name],"",0,)</f>
        <v/>
      </c>
      <c r="G75" s="12"/>
      <c r="H75" s="12"/>
      <c r="I75" s="88">
        <f>IF(RobotGameScores[[#This Row],[Team Number]]&gt;0,MAX(RobotGameScores[[#This Row],[Robot Game 1 Score]:[Robot Game 5 Score]]),0)</f>
        <v>0</v>
      </c>
    </row>
    <row r="76" spans="1:9" ht="30" customHeight="1" x14ac:dyDescent="0.5">
      <c r="A76">
        <f>IF(RobotGameScores[[#This Row],[Team Number]]&gt;0,MIN(_xlfn.RANK.EQ(RobotGameScores[[#This Row],[Highest Robot Game Score]],RobotGameScores[Highest Robot Game Score],0),NumberOfTeams),NumberOfTeams+1)</f>
        <v>1</v>
      </c>
      <c r="B76" s="12">
        <f>_xlfn.XLOOKUP(75,OfficialTeamList[Row],OfficialTeamList[Team Number],"ERROR",0)</f>
        <v>0</v>
      </c>
      <c r="C76" s="42" t="str">
        <f>_xlfn.XLOOKUP(RobotDesignResults[[#This Row],[Team Number]],OfficialTeamList[Team Number],OfficialTeamList[Team Name],"",0,)</f>
        <v/>
      </c>
      <c r="G76" s="12"/>
      <c r="H76" s="12"/>
      <c r="I76" s="88">
        <f>IF(RobotGameScores[[#This Row],[Team Number]]&gt;0,MAX(RobotGameScores[[#This Row],[Robot Game 1 Score]:[Robot Game 5 Score]]),0)</f>
        <v>0</v>
      </c>
    </row>
    <row r="77" spans="1:9" ht="30" customHeight="1" x14ac:dyDescent="0.5">
      <c r="A77">
        <f>IF(RobotGameScores[[#This Row],[Team Number]]&gt;0,MIN(_xlfn.RANK.EQ(RobotGameScores[[#This Row],[Highest Robot Game Score]],RobotGameScores[Highest Robot Game Score],0),NumberOfTeams),NumberOfTeams+1)</f>
        <v>1</v>
      </c>
      <c r="B77" s="12">
        <f>_xlfn.XLOOKUP(76,OfficialTeamList[Row],OfficialTeamList[Team Number],"ERROR",0)</f>
        <v>0</v>
      </c>
      <c r="C77" s="42" t="str">
        <f>_xlfn.XLOOKUP(RobotDesignResults[[#This Row],[Team Number]],OfficialTeamList[Team Number],OfficialTeamList[Team Name],"",0,)</f>
        <v/>
      </c>
      <c r="G77" s="12"/>
      <c r="H77" s="12"/>
      <c r="I77" s="88">
        <f>IF(RobotGameScores[[#This Row],[Team Number]]&gt;0,MAX(RobotGameScores[[#This Row],[Robot Game 1 Score]:[Robot Game 5 Score]]),0)</f>
        <v>0</v>
      </c>
    </row>
    <row r="78" spans="1:9" ht="30" customHeight="1" x14ac:dyDescent="0.5">
      <c r="A78">
        <f>IF(RobotGameScores[[#This Row],[Team Number]]&gt;0,MIN(_xlfn.RANK.EQ(RobotGameScores[[#This Row],[Highest Robot Game Score]],RobotGameScores[Highest Robot Game Score],0),NumberOfTeams),NumberOfTeams+1)</f>
        <v>1</v>
      </c>
      <c r="B78" s="12">
        <f>_xlfn.XLOOKUP(77,OfficialTeamList[Row],OfficialTeamList[Team Number],"ERROR",0)</f>
        <v>0</v>
      </c>
      <c r="C78" s="42" t="str">
        <f>_xlfn.XLOOKUP(RobotDesignResults[[#This Row],[Team Number]],OfficialTeamList[Team Number],OfficialTeamList[Team Name],"",0,)</f>
        <v/>
      </c>
      <c r="G78" s="12"/>
      <c r="H78" s="12"/>
      <c r="I78" s="88">
        <f>IF(RobotGameScores[[#This Row],[Team Number]]&gt;0,MAX(RobotGameScores[[#This Row],[Robot Game 1 Score]:[Robot Game 5 Score]]),0)</f>
        <v>0</v>
      </c>
    </row>
    <row r="79" spans="1:9" ht="30" customHeight="1" x14ac:dyDescent="0.5">
      <c r="A79">
        <f>IF(RobotGameScores[[#This Row],[Team Number]]&gt;0,MIN(_xlfn.RANK.EQ(RobotGameScores[[#This Row],[Highest Robot Game Score]],RobotGameScores[Highest Robot Game Score],0),NumberOfTeams),NumberOfTeams+1)</f>
        <v>1</v>
      </c>
      <c r="B79" s="12">
        <f>_xlfn.XLOOKUP(78,OfficialTeamList[Row],OfficialTeamList[Team Number],"ERROR",0)</f>
        <v>0</v>
      </c>
      <c r="C79" s="42" t="str">
        <f>_xlfn.XLOOKUP(RobotDesignResults[[#This Row],[Team Number]],OfficialTeamList[Team Number],OfficialTeamList[Team Name],"",0,)</f>
        <v/>
      </c>
      <c r="G79" s="12"/>
      <c r="H79" s="12"/>
      <c r="I79" s="88">
        <f>IF(RobotGameScores[[#This Row],[Team Number]]&gt;0,MAX(RobotGameScores[[#This Row],[Robot Game 1 Score]:[Robot Game 5 Score]]),0)</f>
        <v>0</v>
      </c>
    </row>
    <row r="80" spans="1:9" ht="30" customHeight="1" x14ac:dyDescent="0.5">
      <c r="A80">
        <f>IF(RobotGameScores[[#This Row],[Team Number]]&gt;0,MIN(_xlfn.RANK.EQ(RobotGameScores[[#This Row],[Highest Robot Game Score]],RobotGameScores[Highest Robot Game Score],0),NumberOfTeams),NumberOfTeams+1)</f>
        <v>1</v>
      </c>
      <c r="B80" s="12">
        <f>_xlfn.XLOOKUP(79,OfficialTeamList[Row],OfficialTeamList[Team Number],"ERROR",0)</f>
        <v>0</v>
      </c>
      <c r="C80" s="42" t="str">
        <f>_xlfn.XLOOKUP(RobotDesignResults[[#This Row],[Team Number]],OfficialTeamList[Team Number],OfficialTeamList[Team Name],"",0,)</f>
        <v/>
      </c>
      <c r="G80" s="12"/>
      <c r="H80" s="12"/>
      <c r="I80" s="88">
        <f>IF(RobotGameScores[[#This Row],[Team Number]]&gt;0,MAX(RobotGameScores[[#This Row],[Robot Game 1 Score]:[Robot Game 5 Score]]),0)</f>
        <v>0</v>
      </c>
    </row>
    <row r="81" spans="1:9" ht="30" customHeight="1" x14ac:dyDescent="0.5">
      <c r="A81">
        <f>IF(RobotGameScores[[#This Row],[Team Number]]&gt;0,MIN(_xlfn.RANK.EQ(RobotGameScores[[#This Row],[Highest Robot Game Score]],RobotGameScores[Highest Robot Game Score],0),NumberOfTeams),NumberOfTeams+1)</f>
        <v>1</v>
      </c>
      <c r="B81" s="12">
        <f>_xlfn.XLOOKUP(80,OfficialTeamList[Row],OfficialTeamList[Team Number],"ERROR",0)</f>
        <v>0</v>
      </c>
      <c r="C81" s="42" t="str">
        <f>_xlfn.XLOOKUP(RobotDesignResults[[#This Row],[Team Number]],OfficialTeamList[Team Number],OfficialTeamList[Team Name],"",0,)</f>
        <v/>
      </c>
      <c r="G81" s="12"/>
      <c r="H81" s="12"/>
      <c r="I81" s="88">
        <f>IF(RobotGameScores[[#This Row],[Team Number]]&gt;0,MAX(RobotGameScores[[#This Row],[Robot Game 1 Score]:[Robot Game 5 Score]]),0)</f>
        <v>0</v>
      </c>
    </row>
    <row r="82" spans="1:9" ht="30" customHeight="1" x14ac:dyDescent="0.5">
      <c r="A82">
        <f>IF(RobotGameScores[[#This Row],[Team Number]]&gt;0,MIN(_xlfn.RANK.EQ(RobotGameScores[[#This Row],[Highest Robot Game Score]],RobotGameScores[Highest Robot Game Score],0),NumberOfTeams),NumberOfTeams+1)</f>
        <v>1</v>
      </c>
      <c r="B82" s="12">
        <f>_xlfn.XLOOKUP(81,OfficialTeamList[Row],OfficialTeamList[Team Number],"ERROR",0)</f>
        <v>0</v>
      </c>
      <c r="C82" s="42" t="str">
        <f>_xlfn.XLOOKUP(RobotDesignResults[[#This Row],[Team Number]],OfficialTeamList[Team Number],OfficialTeamList[Team Name],"",0,)</f>
        <v/>
      </c>
      <c r="G82" s="12"/>
      <c r="H82" s="12"/>
      <c r="I82" s="88">
        <f>IF(RobotGameScores[[#This Row],[Team Number]]&gt;0,MAX(RobotGameScores[[#This Row],[Robot Game 1 Score]:[Robot Game 5 Score]]),0)</f>
        <v>0</v>
      </c>
    </row>
    <row r="83" spans="1:9" ht="30" customHeight="1" x14ac:dyDescent="0.5">
      <c r="A83">
        <f>IF(RobotGameScores[[#This Row],[Team Number]]&gt;0,MIN(_xlfn.RANK.EQ(RobotGameScores[[#This Row],[Highest Robot Game Score]],RobotGameScores[Highest Robot Game Score],0),NumberOfTeams),NumberOfTeams+1)</f>
        <v>1</v>
      </c>
      <c r="B83" s="12">
        <f>_xlfn.XLOOKUP(82,OfficialTeamList[Row],OfficialTeamList[Team Number],"ERROR",0)</f>
        <v>0</v>
      </c>
      <c r="C83" s="42" t="str">
        <f>_xlfn.XLOOKUP(RobotDesignResults[[#This Row],[Team Number]],OfficialTeamList[Team Number],OfficialTeamList[Team Name],"",0,)</f>
        <v/>
      </c>
      <c r="G83" s="12"/>
      <c r="H83" s="12"/>
      <c r="I83" s="88">
        <f>IF(RobotGameScores[[#This Row],[Team Number]]&gt;0,MAX(RobotGameScores[[#This Row],[Robot Game 1 Score]:[Robot Game 5 Score]]),0)</f>
        <v>0</v>
      </c>
    </row>
    <row r="84" spans="1:9" ht="30" customHeight="1" x14ac:dyDescent="0.5">
      <c r="A84">
        <f>IF(RobotGameScores[[#This Row],[Team Number]]&gt;0,MIN(_xlfn.RANK.EQ(RobotGameScores[[#This Row],[Highest Robot Game Score]],RobotGameScores[Highest Robot Game Score],0),NumberOfTeams),NumberOfTeams+1)</f>
        <v>1</v>
      </c>
      <c r="B84" s="12">
        <f>_xlfn.XLOOKUP(83,OfficialTeamList[Row],OfficialTeamList[Team Number],"ERROR",0)</f>
        <v>0</v>
      </c>
      <c r="C84" s="42" t="str">
        <f>_xlfn.XLOOKUP(RobotDesignResults[[#This Row],[Team Number]],OfficialTeamList[Team Number],OfficialTeamList[Team Name],"",0,)</f>
        <v/>
      </c>
      <c r="G84" s="12"/>
      <c r="H84" s="12"/>
      <c r="I84" s="88">
        <f>IF(RobotGameScores[[#This Row],[Team Number]]&gt;0,MAX(RobotGameScores[[#This Row],[Robot Game 1 Score]:[Robot Game 5 Score]]),0)</f>
        <v>0</v>
      </c>
    </row>
    <row r="85" spans="1:9" ht="30" customHeight="1" x14ac:dyDescent="0.5">
      <c r="A85">
        <f>IF(RobotGameScores[[#This Row],[Team Number]]&gt;0,MIN(_xlfn.RANK.EQ(RobotGameScores[[#This Row],[Highest Robot Game Score]],RobotGameScores[Highest Robot Game Score],0),NumberOfTeams),NumberOfTeams+1)</f>
        <v>1</v>
      </c>
      <c r="B85" s="12">
        <f>_xlfn.XLOOKUP(84,OfficialTeamList[Row],OfficialTeamList[Team Number],"ERROR",0)</f>
        <v>0</v>
      </c>
      <c r="C85" s="42" t="str">
        <f>_xlfn.XLOOKUP(RobotDesignResults[[#This Row],[Team Number]],OfficialTeamList[Team Number],OfficialTeamList[Team Name],"",0,)</f>
        <v/>
      </c>
      <c r="G85" s="12"/>
      <c r="H85" s="12"/>
      <c r="I85" s="88">
        <f>IF(RobotGameScores[[#This Row],[Team Number]]&gt;0,MAX(RobotGameScores[[#This Row],[Robot Game 1 Score]:[Robot Game 5 Score]]),0)</f>
        <v>0</v>
      </c>
    </row>
    <row r="86" spans="1:9" ht="30" customHeight="1" x14ac:dyDescent="0.5">
      <c r="A86">
        <f>IF(RobotGameScores[[#This Row],[Team Number]]&gt;0,MIN(_xlfn.RANK.EQ(RobotGameScores[[#This Row],[Highest Robot Game Score]],RobotGameScores[Highest Robot Game Score],0),NumberOfTeams),NumberOfTeams+1)</f>
        <v>1</v>
      </c>
      <c r="B86" s="12">
        <f>_xlfn.XLOOKUP(85,OfficialTeamList[Row],OfficialTeamList[Team Number],"ERROR",0)</f>
        <v>0</v>
      </c>
      <c r="C86" s="42" t="str">
        <f>_xlfn.XLOOKUP(RobotDesignResults[[#This Row],[Team Number]],OfficialTeamList[Team Number],OfficialTeamList[Team Name],"",0,)</f>
        <v/>
      </c>
      <c r="G86" s="12"/>
      <c r="H86" s="12"/>
      <c r="I86" s="88">
        <f>IF(RobotGameScores[[#This Row],[Team Number]]&gt;0,MAX(RobotGameScores[[#This Row],[Robot Game 1 Score]:[Robot Game 5 Score]]),0)</f>
        <v>0</v>
      </c>
    </row>
    <row r="87" spans="1:9" ht="30" customHeight="1" x14ac:dyDescent="0.5">
      <c r="A87">
        <f>IF(RobotGameScores[[#This Row],[Team Number]]&gt;0,MIN(_xlfn.RANK.EQ(RobotGameScores[[#This Row],[Highest Robot Game Score]],RobotGameScores[Highest Robot Game Score],0),NumberOfTeams),NumberOfTeams+1)</f>
        <v>1</v>
      </c>
      <c r="B87" s="12">
        <f>_xlfn.XLOOKUP(86,OfficialTeamList[Row],OfficialTeamList[Team Number],"ERROR",0)</f>
        <v>0</v>
      </c>
      <c r="C87" s="42" t="str">
        <f>_xlfn.XLOOKUP(RobotDesignResults[[#This Row],[Team Number]],OfficialTeamList[Team Number],OfficialTeamList[Team Name],"",0,)</f>
        <v/>
      </c>
      <c r="G87" s="12"/>
      <c r="H87" s="12"/>
      <c r="I87" s="88">
        <f>IF(RobotGameScores[[#This Row],[Team Number]]&gt;0,MAX(RobotGameScores[[#This Row],[Robot Game 1 Score]:[Robot Game 5 Score]]),0)</f>
        <v>0</v>
      </c>
    </row>
    <row r="88" spans="1:9" ht="30" customHeight="1" x14ac:dyDescent="0.5">
      <c r="A88">
        <f>IF(RobotGameScores[[#This Row],[Team Number]]&gt;0,MIN(_xlfn.RANK.EQ(RobotGameScores[[#This Row],[Highest Robot Game Score]],RobotGameScores[Highest Robot Game Score],0),NumberOfTeams),NumberOfTeams+1)</f>
        <v>1</v>
      </c>
      <c r="B88" s="12">
        <f>_xlfn.XLOOKUP(87,OfficialTeamList[Row],OfficialTeamList[Team Number],"ERROR",0)</f>
        <v>0</v>
      </c>
      <c r="C88" s="42" t="str">
        <f>_xlfn.XLOOKUP(RobotDesignResults[[#This Row],[Team Number]],OfficialTeamList[Team Number],OfficialTeamList[Team Name],"",0,)</f>
        <v/>
      </c>
      <c r="G88" s="12"/>
      <c r="H88" s="12"/>
      <c r="I88" s="88">
        <f>IF(RobotGameScores[[#This Row],[Team Number]]&gt;0,MAX(RobotGameScores[[#This Row],[Robot Game 1 Score]:[Robot Game 5 Score]]),0)</f>
        <v>0</v>
      </c>
    </row>
    <row r="89" spans="1:9" ht="30" customHeight="1" x14ac:dyDescent="0.5">
      <c r="A89">
        <f>IF(RobotGameScores[[#This Row],[Team Number]]&gt;0,MIN(_xlfn.RANK.EQ(RobotGameScores[[#This Row],[Highest Robot Game Score]],RobotGameScores[Highest Robot Game Score],0),NumberOfTeams),NumberOfTeams+1)</f>
        <v>1</v>
      </c>
      <c r="B89" s="12">
        <f>_xlfn.XLOOKUP(88,OfficialTeamList[Row],OfficialTeamList[Team Number],"ERROR",0)</f>
        <v>0</v>
      </c>
      <c r="C89" s="42" t="str">
        <f>_xlfn.XLOOKUP(RobotDesignResults[[#This Row],[Team Number]],OfficialTeamList[Team Number],OfficialTeamList[Team Name],"",0,)</f>
        <v/>
      </c>
      <c r="G89" s="12"/>
      <c r="H89" s="12"/>
      <c r="I89" s="88">
        <f>IF(RobotGameScores[[#This Row],[Team Number]]&gt;0,MAX(RobotGameScores[[#This Row],[Robot Game 1 Score]:[Robot Game 5 Score]]),0)</f>
        <v>0</v>
      </c>
    </row>
    <row r="90" spans="1:9" ht="30" customHeight="1" x14ac:dyDescent="0.5">
      <c r="A90">
        <f>IF(RobotGameScores[[#This Row],[Team Number]]&gt;0,MIN(_xlfn.RANK.EQ(RobotGameScores[[#This Row],[Highest Robot Game Score]],RobotGameScores[Highest Robot Game Score],0),NumberOfTeams),NumberOfTeams+1)</f>
        <v>1</v>
      </c>
      <c r="B90" s="12">
        <f>_xlfn.XLOOKUP(89,OfficialTeamList[Row],OfficialTeamList[Team Number],"ERROR",0)</f>
        <v>0</v>
      </c>
      <c r="C90" s="42" t="str">
        <f>_xlfn.XLOOKUP(RobotDesignResults[[#This Row],[Team Number]],OfficialTeamList[Team Number],OfficialTeamList[Team Name],"",0,)</f>
        <v/>
      </c>
      <c r="G90" s="12"/>
      <c r="H90" s="12"/>
      <c r="I90" s="88">
        <f>IF(RobotGameScores[[#This Row],[Team Number]]&gt;0,MAX(RobotGameScores[[#This Row],[Robot Game 1 Score]:[Robot Game 5 Score]]),0)</f>
        <v>0</v>
      </c>
    </row>
    <row r="91" spans="1:9" ht="30" customHeight="1" x14ac:dyDescent="0.5">
      <c r="A91">
        <f>IF(RobotGameScores[[#This Row],[Team Number]]&gt;0,MIN(_xlfn.RANK.EQ(RobotGameScores[[#This Row],[Highest Robot Game Score]],RobotGameScores[Highest Robot Game Score],0),NumberOfTeams),NumberOfTeams+1)</f>
        <v>1</v>
      </c>
      <c r="B91" s="12">
        <f>_xlfn.XLOOKUP(90,OfficialTeamList[Row],OfficialTeamList[Team Number],"ERROR",0)</f>
        <v>0</v>
      </c>
      <c r="C91" s="42" t="str">
        <f>_xlfn.XLOOKUP(RobotDesignResults[[#This Row],[Team Number]],OfficialTeamList[Team Number],OfficialTeamList[Team Name],"",0,)</f>
        <v/>
      </c>
      <c r="G91" s="12"/>
      <c r="H91" s="12"/>
      <c r="I91" s="88">
        <f>IF(RobotGameScores[[#This Row],[Team Number]]&gt;0,MAX(RobotGameScores[[#This Row],[Robot Game 1 Score]:[Robot Game 5 Score]]),0)</f>
        <v>0</v>
      </c>
    </row>
    <row r="92" spans="1:9" ht="30" customHeight="1" x14ac:dyDescent="0.5">
      <c r="A92">
        <f>IF(RobotGameScores[[#This Row],[Team Number]]&gt;0,MIN(_xlfn.RANK.EQ(RobotGameScores[[#This Row],[Highest Robot Game Score]],RobotGameScores[Highest Robot Game Score],0),NumberOfTeams),NumberOfTeams+1)</f>
        <v>1</v>
      </c>
      <c r="B92" s="12">
        <f>_xlfn.XLOOKUP(91,OfficialTeamList[Row],OfficialTeamList[Team Number],"ERROR",0)</f>
        <v>0</v>
      </c>
      <c r="C92" s="42" t="str">
        <f>_xlfn.XLOOKUP(RobotDesignResults[[#This Row],[Team Number]],OfficialTeamList[Team Number],OfficialTeamList[Team Name],"",0,)</f>
        <v/>
      </c>
      <c r="G92" s="12"/>
      <c r="H92" s="12"/>
      <c r="I92" s="88">
        <f>IF(RobotGameScores[[#This Row],[Team Number]]&gt;0,MAX(RobotGameScores[[#This Row],[Robot Game 1 Score]:[Robot Game 5 Score]]),0)</f>
        <v>0</v>
      </c>
    </row>
    <row r="93" spans="1:9" ht="30" customHeight="1" x14ac:dyDescent="0.5">
      <c r="A93">
        <f>IF(RobotGameScores[[#This Row],[Team Number]]&gt;0,MIN(_xlfn.RANK.EQ(RobotGameScores[[#This Row],[Highest Robot Game Score]],RobotGameScores[Highest Robot Game Score],0),NumberOfTeams),NumberOfTeams+1)</f>
        <v>1</v>
      </c>
      <c r="B93" s="12">
        <f>_xlfn.XLOOKUP(92,OfficialTeamList[Row],OfficialTeamList[Team Number],"ERROR",0)</f>
        <v>0</v>
      </c>
      <c r="C93" s="42" t="str">
        <f>_xlfn.XLOOKUP(RobotDesignResults[[#This Row],[Team Number]],OfficialTeamList[Team Number],OfficialTeamList[Team Name],"",0,)</f>
        <v/>
      </c>
      <c r="G93" s="12"/>
      <c r="H93" s="12"/>
      <c r="I93" s="88">
        <f>IF(RobotGameScores[[#This Row],[Team Number]]&gt;0,MAX(RobotGameScores[[#This Row],[Robot Game 1 Score]:[Robot Game 5 Score]]),0)</f>
        <v>0</v>
      </c>
    </row>
    <row r="94" spans="1:9" ht="30" customHeight="1" x14ac:dyDescent="0.5">
      <c r="A94">
        <f>IF(RobotGameScores[[#This Row],[Team Number]]&gt;0,MIN(_xlfn.RANK.EQ(RobotGameScores[[#This Row],[Highest Robot Game Score]],RobotGameScores[Highest Robot Game Score],0),NumberOfTeams),NumberOfTeams+1)</f>
        <v>1</v>
      </c>
      <c r="B94" s="12">
        <f>_xlfn.XLOOKUP(93,OfficialTeamList[Row],OfficialTeamList[Team Number],"ERROR",0)</f>
        <v>0</v>
      </c>
      <c r="C94" s="42" t="str">
        <f>_xlfn.XLOOKUP(RobotDesignResults[[#This Row],[Team Number]],OfficialTeamList[Team Number],OfficialTeamList[Team Name],"",0,)</f>
        <v/>
      </c>
      <c r="G94" s="12"/>
      <c r="H94" s="12"/>
      <c r="I94" s="88">
        <f>IF(RobotGameScores[[#This Row],[Team Number]]&gt;0,MAX(RobotGameScores[[#This Row],[Robot Game 1 Score]:[Robot Game 5 Score]]),0)</f>
        <v>0</v>
      </c>
    </row>
    <row r="95" spans="1:9" ht="30" customHeight="1" x14ac:dyDescent="0.5">
      <c r="A95">
        <f>IF(RobotGameScores[[#This Row],[Team Number]]&gt;0,MIN(_xlfn.RANK.EQ(RobotGameScores[[#This Row],[Highest Robot Game Score]],RobotGameScores[Highest Robot Game Score],0),NumberOfTeams),NumberOfTeams+1)</f>
        <v>1</v>
      </c>
      <c r="B95" s="12">
        <f>_xlfn.XLOOKUP(94,OfficialTeamList[Row],OfficialTeamList[Team Number],"ERROR",0)</f>
        <v>0</v>
      </c>
      <c r="C95" s="42" t="str">
        <f>_xlfn.XLOOKUP(RobotDesignResults[[#This Row],[Team Number]],OfficialTeamList[Team Number],OfficialTeamList[Team Name],"",0,)</f>
        <v/>
      </c>
      <c r="G95" s="12"/>
      <c r="H95" s="12"/>
      <c r="I95" s="88">
        <f>IF(RobotGameScores[[#This Row],[Team Number]]&gt;0,MAX(RobotGameScores[[#This Row],[Robot Game 1 Score]:[Robot Game 5 Score]]),0)</f>
        <v>0</v>
      </c>
    </row>
    <row r="96" spans="1:9" ht="30" customHeight="1" x14ac:dyDescent="0.5">
      <c r="A96">
        <f>IF(RobotGameScores[[#This Row],[Team Number]]&gt;0,MIN(_xlfn.RANK.EQ(RobotGameScores[[#This Row],[Highest Robot Game Score]],RobotGameScores[Highest Robot Game Score],0),NumberOfTeams),NumberOfTeams+1)</f>
        <v>1</v>
      </c>
      <c r="B96" s="12">
        <f>_xlfn.XLOOKUP(95,OfficialTeamList[Row],OfficialTeamList[Team Number],"ERROR",0)</f>
        <v>0</v>
      </c>
      <c r="C96" s="42" t="str">
        <f>_xlfn.XLOOKUP(RobotDesignResults[[#This Row],[Team Number]],OfficialTeamList[Team Number],OfficialTeamList[Team Name],"",0,)</f>
        <v/>
      </c>
      <c r="G96" s="12"/>
      <c r="H96" s="12"/>
      <c r="I96" s="88">
        <f>IF(RobotGameScores[[#This Row],[Team Number]]&gt;0,MAX(RobotGameScores[[#This Row],[Robot Game 1 Score]:[Robot Game 5 Score]]),0)</f>
        <v>0</v>
      </c>
    </row>
    <row r="97" spans="1:9" ht="30" customHeight="1" x14ac:dyDescent="0.5">
      <c r="A97">
        <f>IF(RobotGameScores[[#This Row],[Team Number]]&gt;0,MIN(_xlfn.RANK.EQ(RobotGameScores[[#This Row],[Highest Robot Game Score]],RobotGameScores[Highest Robot Game Score],0),NumberOfTeams),NumberOfTeams+1)</f>
        <v>1</v>
      </c>
      <c r="B97" s="12">
        <f>_xlfn.XLOOKUP(96,OfficialTeamList[Row],OfficialTeamList[Team Number],"ERROR",0)</f>
        <v>0</v>
      </c>
      <c r="C97" s="42" t="str">
        <f>_xlfn.XLOOKUP(RobotDesignResults[[#This Row],[Team Number]],OfficialTeamList[Team Number],OfficialTeamList[Team Name],"",0,)</f>
        <v/>
      </c>
      <c r="G97" s="12"/>
      <c r="H97" s="12"/>
      <c r="I97" s="88">
        <f>IF(RobotGameScores[[#This Row],[Team Number]]&gt;0,MAX(RobotGameScores[[#This Row],[Robot Game 1 Score]:[Robot Game 5 Score]]),0)</f>
        <v>0</v>
      </c>
    </row>
    <row r="98" spans="1:9" ht="30" customHeight="1" x14ac:dyDescent="0.5">
      <c r="A98">
        <f>IF(RobotGameScores[[#This Row],[Team Number]]&gt;0,MIN(_xlfn.RANK.EQ(RobotGameScores[[#This Row],[Highest Robot Game Score]],RobotGameScores[Highest Robot Game Score],0),NumberOfTeams),NumberOfTeams+1)</f>
        <v>1</v>
      </c>
      <c r="B98" s="12">
        <f>_xlfn.XLOOKUP(97,OfficialTeamList[Row],OfficialTeamList[Team Number],"ERROR",0)</f>
        <v>0</v>
      </c>
      <c r="C98" s="42" t="str">
        <f>_xlfn.XLOOKUP(RobotDesignResults[[#This Row],[Team Number]],OfficialTeamList[Team Number],OfficialTeamList[Team Name],"",0,)</f>
        <v/>
      </c>
      <c r="G98" s="12"/>
      <c r="H98" s="12"/>
      <c r="I98" s="88">
        <f>IF(RobotGameScores[[#This Row],[Team Number]]&gt;0,MAX(RobotGameScores[[#This Row],[Robot Game 1 Score]:[Robot Game 5 Score]]),0)</f>
        <v>0</v>
      </c>
    </row>
    <row r="99" spans="1:9" ht="30" customHeight="1" x14ac:dyDescent="0.5">
      <c r="A99">
        <f>IF(RobotGameScores[[#This Row],[Team Number]]&gt;0,MIN(_xlfn.RANK.EQ(RobotGameScores[[#This Row],[Highest Robot Game Score]],RobotGameScores[Highest Robot Game Score],0),NumberOfTeams),NumberOfTeams+1)</f>
        <v>1</v>
      </c>
      <c r="B99" s="12">
        <f>_xlfn.XLOOKUP(98,OfficialTeamList[Row],OfficialTeamList[Team Number],"ERROR",0)</f>
        <v>0</v>
      </c>
      <c r="C99" s="42" t="str">
        <f>_xlfn.XLOOKUP(RobotDesignResults[[#This Row],[Team Number]],OfficialTeamList[Team Number],OfficialTeamList[Team Name],"",0,)</f>
        <v/>
      </c>
      <c r="G99" s="12"/>
      <c r="H99" s="12"/>
      <c r="I99" s="88">
        <f>IF(RobotGameScores[[#This Row],[Team Number]]&gt;0,MAX(RobotGameScores[[#This Row],[Robot Game 1 Score]:[Robot Game 5 Score]]),0)</f>
        <v>0</v>
      </c>
    </row>
    <row r="100" spans="1:9" ht="30" customHeight="1" x14ac:dyDescent="0.5">
      <c r="A100">
        <f>IF(RobotGameScores[[#This Row],[Team Number]]&gt;0,MIN(_xlfn.RANK.EQ(RobotGameScores[[#This Row],[Highest Robot Game Score]],RobotGameScores[Highest Robot Game Score],0),NumberOfTeams),NumberOfTeams+1)</f>
        <v>1</v>
      </c>
      <c r="B100" s="12">
        <f>_xlfn.XLOOKUP(99,OfficialTeamList[Row],OfficialTeamList[Team Number],"ERROR",0)</f>
        <v>0</v>
      </c>
      <c r="C100" s="42" t="str">
        <f>_xlfn.XLOOKUP(RobotDesignResults[[#This Row],[Team Number]],OfficialTeamList[Team Number],OfficialTeamList[Team Name],"",0,)</f>
        <v/>
      </c>
      <c r="G100" s="12"/>
      <c r="H100" s="12"/>
      <c r="I100" s="88">
        <f>IF(RobotGameScores[[#This Row],[Team Number]]&gt;0,MAX(RobotGameScores[[#This Row],[Robot Game 1 Score]:[Robot Game 5 Score]]),0)</f>
        <v>0</v>
      </c>
    </row>
    <row r="101" spans="1:9" ht="30" customHeight="1" x14ac:dyDescent="0.5">
      <c r="A101">
        <f>IF(RobotGameScores[[#This Row],[Team Number]]&gt;0,MIN(_xlfn.RANK.EQ(RobotGameScores[[#This Row],[Highest Robot Game Score]],RobotGameScores[Highest Robot Game Score],0),NumberOfTeams),NumberOfTeams+1)</f>
        <v>1</v>
      </c>
      <c r="B101" s="12">
        <f>_xlfn.XLOOKUP(100,OfficialTeamList[Row],OfficialTeamList[Team Number],"ERROR",0)</f>
        <v>0</v>
      </c>
      <c r="C101" s="42" t="str">
        <f>_xlfn.XLOOKUP(RobotDesignResults[[#This Row],[Team Number]],OfficialTeamList[Team Number],OfficialTeamList[Team Name],"",0,)</f>
        <v/>
      </c>
      <c r="G101" s="12"/>
      <c r="H101" s="12"/>
      <c r="I101" s="88">
        <f>IF(RobotGameScores[[#This Row],[Team Number]]&gt;0,MAX(RobotGameScores[[#This Row],[Robot Game 1 Score]:[Robot Game 5 Score]]),0)</f>
        <v>0</v>
      </c>
    </row>
    <row r="102" spans="1:9" ht="30" customHeight="1" x14ac:dyDescent="0.5">
      <c r="A102">
        <f>IF(RobotGameScores[[#This Row],[Team Number]]&gt;0,MIN(_xlfn.RANK.EQ(RobotGameScores[[#This Row],[Highest Robot Game Score]],RobotGameScores[Highest Robot Game Score],0),NumberOfTeams),NumberOfTeams+1)</f>
        <v>1</v>
      </c>
      <c r="B102" s="12">
        <f>_xlfn.XLOOKUP(101,OfficialTeamList[Row],OfficialTeamList[Team Number],"ERROR",0)</f>
        <v>0</v>
      </c>
      <c r="C102" s="42" t="str">
        <f>_xlfn.XLOOKUP(RobotDesignResults[[#This Row],[Team Number]],OfficialTeamList[Team Number],OfficialTeamList[Team Name],"",0,)</f>
        <v/>
      </c>
      <c r="G102" s="12"/>
      <c r="H102" s="12"/>
      <c r="I102" s="88">
        <f>IF(RobotGameScores[[#This Row],[Team Number]]&gt;0,MAX(RobotGameScores[[#This Row],[Robot Game 1 Score]:[Robot Game 5 Score]]),0)</f>
        <v>0</v>
      </c>
    </row>
    <row r="103" spans="1:9" ht="30" customHeight="1" x14ac:dyDescent="0.5">
      <c r="A103">
        <f>IF(RobotGameScores[[#This Row],[Team Number]]&gt;0,MIN(_xlfn.RANK.EQ(RobotGameScores[[#This Row],[Highest Robot Game Score]],RobotGameScores[Highest Robot Game Score],0),NumberOfTeams),NumberOfTeams+1)</f>
        <v>1</v>
      </c>
      <c r="B103" s="12">
        <f>_xlfn.XLOOKUP(102,OfficialTeamList[Row],OfficialTeamList[Team Number],"ERROR",0)</f>
        <v>0</v>
      </c>
      <c r="C103" s="42" t="str">
        <f>_xlfn.XLOOKUP(RobotDesignResults[[#This Row],[Team Number]],OfficialTeamList[Team Number],OfficialTeamList[Team Name],"",0,)</f>
        <v/>
      </c>
      <c r="G103" s="12"/>
      <c r="H103" s="12"/>
      <c r="I103" s="88">
        <f>IF(RobotGameScores[[#This Row],[Team Number]]&gt;0,MAX(RobotGameScores[[#This Row],[Robot Game 1 Score]:[Robot Game 5 Score]]),0)</f>
        <v>0</v>
      </c>
    </row>
    <row r="104" spans="1:9" ht="30" customHeight="1" x14ac:dyDescent="0.5">
      <c r="A104">
        <f>IF(RobotGameScores[[#This Row],[Team Number]]&gt;0,MIN(_xlfn.RANK.EQ(RobotGameScores[[#This Row],[Highest Robot Game Score]],RobotGameScores[Highest Robot Game Score],0),NumberOfTeams),NumberOfTeams+1)</f>
        <v>1</v>
      </c>
      <c r="B104" s="12">
        <f>_xlfn.XLOOKUP(103,OfficialTeamList[Row],OfficialTeamList[Team Number],"ERROR",0)</f>
        <v>0</v>
      </c>
      <c r="C104" s="42" t="str">
        <f>_xlfn.XLOOKUP(RobotDesignResults[[#This Row],[Team Number]],OfficialTeamList[Team Number],OfficialTeamList[Team Name],"",0,)</f>
        <v/>
      </c>
      <c r="G104" s="12"/>
      <c r="H104" s="12"/>
      <c r="I104" s="88">
        <f>IF(RobotGameScores[[#This Row],[Team Number]]&gt;0,MAX(RobotGameScores[[#This Row],[Robot Game 1 Score]:[Robot Game 5 Score]]),0)</f>
        <v>0</v>
      </c>
    </row>
    <row r="105" spans="1:9" ht="30" customHeight="1" x14ac:dyDescent="0.5">
      <c r="A105">
        <f>IF(RobotGameScores[[#This Row],[Team Number]]&gt;0,MIN(_xlfn.RANK.EQ(RobotGameScores[[#This Row],[Highest Robot Game Score]],RobotGameScores[Highest Robot Game Score],0),NumberOfTeams),NumberOfTeams+1)</f>
        <v>1</v>
      </c>
      <c r="B105" s="12">
        <f>_xlfn.XLOOKUP(104,OfficialTeamList[Row],OfficialTeamList[Team Number],"ERROR",0)</f>
        <v>0</v>
      </c>
      <c r="C105" s="42" t="str">
        <f>_xlfn.XLOOKUP(RobotDesignResults[[#This Row],[Team Number]],OfficialTeamList[Team Number],OfficialTeamList[Team Name],"",0,)</f>
        <v/>
      </c>
      <c r="G105" s="12"/>
      <c r="H105" s="12"/>
      <c r="I105" s="88">
        <f>IF(RobotGameScores[[#This Row],[Team Number]]&gt;0,MAX(RobotGameScores[[#This Row],[Robot Game 1 Score]:[Robot Game 5 Score]]),0)</f>
        <v>0</v>
      </c>
    </row>
    <row r="106" spans="1:9" ht="30" customHeight="1" x14ac:dyDescent="0.5">
      <c r="A106">
        <f>IF(RobotGameScores[[#This Row],[Team Number]]&gt;0,MIN(_xlfn.RANK.EQ(RobotGameScores[[#This Row],[Highest Robot Game Score]],RobotGameScores[Highest Robot Game Score],0),NumberOfTeams),NumberOfTeams+1)</f>
        <v>1</v>
      </c>
      <c r="B106" s="12">
        <f>_xlfn.XLOOKUP(105,OfficialTeamList[Row],OfficialTeamList[Team Number],"ERROR",0)</f>
        <v>0</v>
      </c>
      <c r="C106" s="42" t="str">
        <f>_xlfn.XLOOKUP(RobotDesignResults[[#This Row],[Team Number]],OfficialTeamList[Team Number],OfficialTeamList[Team Name],"",0,)</f>
        <v/>
      </c>
      <c r="G106" s="12"/>
      <c r="H106" s="12"/>
      <c r="I106" s="88">
        <f>IF(RobotGameScores[[#This Row],[Team Number]]&gt;0,MAX(RobotGameScores[[#This Row],[Robot Game 1 Score]:[Robot Game 5 Score]]),0)</f>
        <v>0</v>
      </c>
    </row>
    <row r="107" spans="1:9" ht="30" customHeight="1" x14ac:dyDescent="0.5">
      <c r="A107">
        <f>IF(RobotGameScores[[#This Row],[Team Number]]&gt;0,MIN(_xlfn.RANK.EQ(RobotGameScores[[#This Row],[Highest Robot Game Score]],RobotGameScores[Highest Robot Game Score],0),NumberOfTeams),NumberOfTeams+1)</f>
        <v>1</v>
      </c>
      <c r="B107" s="12">
        <f>_xlfn.XLOOKUP(106,OfficialTeamList[Row],OfficialTeamList[Team Number],"ERROR",0)</f>
        <v>0</v>
      </c>
      <c r="C107" s="42" t="str">
        <f>_xlfn.XLOOKUP(RobotDesignResults[[#This Row],[Team Number]],OfficialTeamList[Team Number],OfficialTeamList[Team Name],"",0,)</f>
        <v/>
      </c>
      <c r="G107" s="12"/>
      <c r="H107" s="12"/>
      <c r="I107" s="88">
        <f>IF(RobotGameScores[[#This Row],[Team Number]]&gt;0,MAX(RobotGameScores[[#This Row],[Robot Game 1 Score]:[Robot Game 5 Score]]),0)</f>
        <v>0</v>
      </c>
    </row>
    <row r="108" spans="1:9" ht="30" customHeight="1" x14ac:dyDescent="0.5">
      <c r="A108">
        <f>IF(RobotGameScores[[#This Row],[Team Number]]&gt;0,MIN(_xlfn.RANK.EQ(RobotGameScores[[#This Row],[Highest Robot Game Score]],RobotGameScores[Highest Robot Game Score],0),NumberOfTeams),NumberOfTeams+1)</f>
        <v>1</v>
      </c>
      <c r="B108" s="12">
        <f>_xlfn.XLOOKUP(107,OfficialTeamList[Row],OfficialTeamList[Team Number],"ERROR",0)</f>
        <v>0</v>
      </c>
      <c r="C108" s="42" t="str">
        <f>_xlfn.XLOOKUP(RobotDesignResults[[#This Row],[Team Number]],OfficialTeamList[Team Number],OfficialTeamList[Team Name],"",0,)</f>
        <v/>
      </c>
      <c r="G108" s="12"/>
      <c r="H108" s="12"/>
      <c r="I108" s="88">
        <f>IF(RobotGameScores[[#This Row],[Team Number]]&gt;0,MAX(RobotGameScores[[#This Row],[Robot Game 1 Score]:[Robot Game 5 Score]]),0)</f>
        <v>0</v>
      </c>
    </row>
    <row r="109" spans="1:9" ht="30" customHeight="1" x14ac:dyDescent="0.5">
      <c r="A109">
        <f>IF(RobotGameScores[[#This Row],[Team Number]]&gt;0,MIN(_xlfn.RANK.EQ(RobotGameScores[[#This Row],[Highest Robot Game Score]],RobotGameScores[Highest Robot Game Score],0),NumberOfTeams),NumberOfTeams+1)</f>
        <v>1</v>
      </c>
      <c r="B109" s="12">
        <f>_xlfn.XLOOKUP(108,OfficialTeamList[Row],OfficialTeamList[Team Number],"ERROR",0)</f>
        <v>0</v>
      </c>
      <c r="C109" s="42" t="str">
        <f>_xlfn.XLOOKUP(RobotDesignResults[[#This Row],[Team Number]],OfficialTeamList[Team Number],OfficialTeamList[Team Name],"",0,)</f>
        <v/>
      </c>
      <c r="G109" s="12"/>
      <c r="H109" s="12"/>
      <c r="I109" s="88">
        <f>IF(RobotGameScores[[#This Row],[Team Number]]&gt;0,MAX(RobotGameScores[[#This Row],[Robot Game 1 Score]:[Robot Game 5 Score]]),0)</f>
        <v>0</v>
      </c>
    </row>
    <row r="110" spans="1:9" ht="30" customHeight="1" x14ac:dyDescent="0.5">
      <c r="A110">
        <f>IF(RobotGameScores[[#This Row],[Team Number]]&gt;0,MIN(_xlfn.RANK.EQ(RobotGameScores[[#This Row],[Highest Robot Game Score]],RobotGameScores[Highest Robot Game Score],0),NumberOfTeams),NumberOfTeams+1)</f>
        <v>1</v>
      </c>
      <c r="B110" s="12">
        <f>_xlfn.XLOOKUP(109,OfficialTeamList[Row],OfficialTeamList[Team Number],"ERROR",0)</f>
        <v>0</v>
      </c>
      <c r="C110" s="42" t="str">
        <f>_xlfn.XLOOKUP(RobotDesignResults[[#This Row],[Team Number]],OfficialTeamList[Team Number],OfficialTeamList[Team Name],"",0,)</f>
        <v/>
      </c>
      <c r="G110" s="12"/>
      <c r="H110" s="12"/>
      <c r="I110" s="88">
        <f>IF(RobotGameScores[[#This Row],[Team Number]]&gt;0,MAX(RobotGameScores[[#This Row],[Robot Game 1 Score]:[Robot Game 5 Score]]),0)</f>
        <v>0</v>
      </c>
    </row>
    <row r="111" spans="1:9" ht="30" customHeight="1" x14ac:dyDescent="0.5">
      <c r="A111">
        <f>IF(RobotGameScores[[#This Row],[Team Number]]&gt;0,MIN(_xlfn.RANK.EQ(RobotGameScores[[#This Row],[Highest Robot Game Score]],RobotGameScores[Highest Robot Game Score],0),NumberOfTeams),NumberOfTeams+1)</f>
        <v>1</v>
      </c>
      <c r="B111" s="12">
        <f>_xlfn.XLOOKUP(110,OfficialTeamList[Row],OfficialTeamList[Team Number],"ERROR",0)</f>
        <v>0</v>
      </c>
      <c r="C111" s="42" t="str">
        <f>_xlfn.XLOOKUP(RobotDesignResults[[#This Row],[Team Number]],OfficialTeamList[Team Number],OfficialTeamList[Team Name],"",0,)</f>
        <v/>
      </c>
      <c r="G111" s="12"/>
      <c r="H111" s="12"/>
      <c r="I111" s="88">
        <f>IF(RobotGameScores[[#This Row],[Team Number]]&gt;0,MAX(RobotGameScores[[#This Row],[Robot Game 1 Score]:[Robot Game 5 Score]]),0)</f>
        <v>0</v>
      </c>
    </row>
    <row r="112" spans="1:9" ht="30" customHeight="1" x14ac:dyDescent="0.5">
      <c r="A112">
        <f>IF(RobotGameScores[[#This Row],[Team Number]]&gt;0,MIN(_xlfn.RANK.EQ(RobotGameScores[[#This Row],[Highest Robot Game Score]],RobotGameScores[Highest Robot Game Score],0),NumberOfTeams),NumberOfTeams+1)</f>
        <v>1</v>
      </c>
      <c r="B112" s="12">
        <f>_xlfn.XLOOKUP(111,OfficialTeamList[Row],OfficialTeamList[Team Number],"ERROR",0)</f>
        <v>0</v>
      </c>
      <c r="C112" s="42" t="str">
        <f>_xlfn.XLOOKUP(RobotDesignResults[[#This Row],[Team Number]],OfficialTeamList[Team Number],OfficialTeamList[Team Name],"",0,)</f>
        <v/>
      </c>
      <c r="G112" s="12"/>
      <c r="H112" s="12"/>
      <c r="I112" s="88">
        <f>IF(RobotGameScores[[#This Row],[Team Number]]&gt;0,MAX(RobotGameScores[[#This Row],[Robot Game 1 Score]:[Robot Game 5 Score]]),0)</f>
        <v>0</v>
      </c>
    </row>
    <row r="113" spans="1:9" ht="30" customHeight="1" x14ac:dyDescent="0.5">
      <c r="A113">
        <f>IF(RobotGameScores[[#This Row],[Team Number]]&gt;0,MIN(_xlfn.RANK.EQ(RobotGameScores[[#This Row],[Highest Robot Game Score]],RobotGameScores[Highest Robot Game Score],0),NumberOfTeams),NumberOfTeams+1)</f>
        <v>1</v>
      </c>
      <c r="B113" s="12">
        <f>_xlfn.XLOOKUP(112,OfficialTeamList[Row],OfficialTeamList[Team Number],"ERROR",0)</f>
        <v>0</v>
      </c>
      <c r="C113" s="42" t="str">
        <f>_xlfn.XLOOKUP(RobotDesignResults[[#This Row],[Team Number]],OfficialTeamList[Team Number],OfficialTeamList[Team Name],"",0,)</f>
        <v/>
      </c>
      <c r="G113" s="12"/>
      <c r="H113" s="12"/>
      <c r="I113" s="88">
        <f>IF(RobotGameScores[[#This Row],[Team Number]]&gt;0,MAX(RobotGameScores[[#This Row],[Robot Game 1 Score]:[Robot Game 5 Score]]),0)</f>
        <v>0</v>
      </c>
    </row>
    <row r="114" spans="1:9" ht="30" customHeight="1" x14ac:dyDescent="0.5">
      <c r="A114">
        <f>IF(RobotGameScores[[#This Row],[Team Number]]&gt;0,MIN(_xlfn.RANK.EQ(RobotGameScores[[#This Row],[Highest Robot Game Score]],RobotGameScores[Highest Robot Game Score],0),NumberOfTeams),NumberOfTeams+1)</f>
        <v>1</v>
      </c>
      <c r="B114" s="12">
        <f>_xlfn.XLOOKUP(113,OfficialTeamList[Row],OfficialTeamList[Team Number],"ERROR",0)</f>
        <v>0</v>
      </c>
      <c r="C114" s="42" t="str">
        <f>_xlfn.XLOOKUP(RobotDesignResults[[#This Row],[Team Number]],OfficialTeamList[Team Number],OfficialTeamList[Team Name],"",0,)</f>
        <v/>
      </c>
      <c r="G114" s="12"/>
      <c r="H114" s="12"/>
      <c r="I114" s="88">
        <f>IF(RobotGameScores[[#This Row],[Team Number]]&gt;0,MAX(RobotGameScores[[#This Row],[Robot Game 1 Score]:[Robot Game 5 Score]]),0)</f>
        <v>0</v>
      </c>
    </row>
    <row r="115" spans="1:9" ht="30" customHeight="1" x14ac:dyDescent="0.5">
      <c r="A115">
        <f>IF(RobotGameScores[[#This Row],[Team Number]]&gt;0,MIN(_xlfn.RANK.EQ(RobotGameScores[[#This Row],[Highest Robot Game Score]],RobotGameScores[Highest Robot Game Score],0),NumberOfTeams),NumberOfTeams+1)</f>
        <v>1</v>
      </c>
      <c r="B115" s="12">
        <f>_xlfn.XLOOKUP(114,OfficialTeamList[Row],OfficialTeamList[Team Number],"ERROR",0)</f>
        <v>0</v>
      </c>
      <c r="C115" s="42" t="str">
        <f>_xlfn.XLOOKUP(RobotDesignResults[[#This Row],[Team Number]],OfficialTeamList[Team Number],OfficialTeamList[Team Name],"",0,)</f>
        <v/>
      </c>
      <c r="G115" s="12"/>
      <c r="H115" s="12"/>
      <c r="I115" s="88">
        <f>IF(RobotGameScores[[#This Row],[Team Number]]&gt;0,MAX(RobotGameScores[[#This Row],[Robot Game 1 Score]:[Robot Game 5 Score]]),0)</f>
        <v>0</v>
      </c>
    </row>
    <row r="116" spans="1:9" ht="30" customHeight="1" x14ac:dyDescent="0.5">
      <c r="A116">
        <f>IF(RobotGameScores[[#This Row],[Team Number]]&gt;0,MIN(_xlfn.RANK.EQ(RobotGameScores[[#This Row],[Highest Robot Game Score]],RobotGameScores[Highest Robot Game Score],0),NumberOfTeams),NumberOfTeams+1)</f>
        <v>1</v>
      </c>
      <c r="B116" s="12">
        <f>_xlfn.XLOOKUP(115,OfficialTeamList[Row],OfficialTeamList[Team Number],"ERROR",0)</f>
        <v>0</v>
      </c>
      <c r="C116" s="42" t="str">
        <f>_xlfn.XLOOKUP(RobotDesignResults[[#This Row],[Team Number]],OfficialTeamList[Team Number],OfficialTeamList[Team Name],"",0,)</f>
        <v/>
      </c>
      <c r="G116" s="12"/>
      <c r="H116" s="12"/>
      <c r="I116" s="88">
        <f>IF(RobotGameScores[[#This Row],[Team Number]]&gt;0,MAX(RobotGameScores[[#This Row],[Robot Game 1 Score]:[Robot Game 5 Score]]),0)</f>
        <v>0</v>
      </c>
    </row>
    <row r="117" spans="1:9" ht="30" customHeight="1" x14ac:dyDescent="0.5">
      <c r="A117">
        <f>IF(RobotGameScores[[#This Row],[Team Number]]&gt;0,MIN(_xlfn.RANK.EQ(RobotGameScores[[#This Row],[Highest Robot Game Score]],RobotGameScores[Highest Robot Game Score],0),NumberOfTeams),NumberOfTeams+1)</f>
        <v>1</v>
      </c>
      <c r="B117" s="12">
        <f>_xlfn.XLOOKUP(116,OfficialTeamList[Row],OfficialTeamList[Team Number],"ERROR",0)</f>
        <v>0</v>
      </c>
      <c r="C117" s="42" t="str">
        <f>_xlfn.XLOOKUP(RobotDesignResults[[#This Row],[Team Number]],OfficialTeamList[Team Number],OfficialTeamList[Team Name],"",0,)</f>
        <v/>
      </c>
      <c r="G117" s="12"/>
      <c r="H117" s="12"/>
      <c r="I117" s="88">
        <f>IF(RobotGameScores[[#This Row],[Team Number]]&gt;0,MAX(RobotGameScores[[#This Row],[Robot Game 1 Score]:[Robot Game 5 Score]]),0)</f>
        <v>0</v>
      </c>
    </row>
    <row r="118" spans="1:9" ht="30" customHeight="1" x14ac:dyDescent="0.5">
      <c r="A118">
        <f>IF(RobotGameScores[[#This Row],[Team Number]]&gt;0,MIN(_xlfn.RANK.EQ(RobotGameScores[[#This Row],[Highest Robot Game Score]],RobotGameScores[Highest Robot Game Score],0),NumberOfTeams),NumberOfTeams+1)</f>
        <v>1</v>
      </c>
      <c r="B118" s="12">
        <f>_xlfn.XLOOKUP(117,OfficialTeamList[Row],OfficialTeamList[Team Number],"ERROR",0)</f>
        <v>0</v>
      </c>
      <c r="C118" s="42" t="str">
        <f>_xlfn.XLOOKUP(RobotDesignResults[[#This Row],[Team Number]],OfficialTeamList[Team Number],OfficialTeamList[Team Name],"",0,)</f>
        <v/>
      </c>
      <c r="G118" s="12"/>
      <c r="H118" s="12"/>
      <c r="I118" s="88">
        <f>IF(RobotGameScores[[#This Row],[Team Number]]&gt;0,MAX(RobotGameScores[[#This Row],[Robot Game 1 Score]:[Robot Game 5 Score]]),0)</f>
        <v>0</v>
      </c>
    </row>
    <row r="119" spans="1:9" ht="30" customHeight="1" x14ac:dyDescent="0.5">
      <c r="A119">
        <f>IF(RobotGameScores[[#This Row],[Team Number]]&gt;0,MIN(_xlfn.RANK.EQ(RobotGameScores[[#This Row],[Highest Robot Game Score]],RobotGameScores[Highest Robot Game Score],0),NumberOfTeams),NumberOfTeams+1)</f>
        <v>1</v>
      </c>
      <c r="B119" s="12">
        <f>_xlfn.XLOOKUP(118,OfficialTeamList[Row],OfficialTeamList[Team Number],"ERROR",0)</f>
        <v>0</v>
      </c>
      <c r="C119" s="42" t="str">
        <f>_xlfn.XLOOKUP(RobotDesignResults[[#This Row],[Team Number]],OfficialTeamList[Team Number],OfficialTeamList[Team Name],"",0,)</f>
        <v/>
      </c>
      <c r="G119" s="12"/>
      <c r="H119" s="12"/>
      <c r="I119" s="88">
        <f>IF(RobotGameScores[[#This Row],[Team Number]]&gt;0,MAX(RobotGameScores[[#This Row],[Robot Game 1 Score]:[Robot Game 5 Score]]),0)</f>
        <v>0</v>
      </c>
    </row>
    <row r="120" spans="1:9" ht="30" customHeight="1" x14ac:dyDescent="0.5">
      <c r="A120">
        <f>IF(RobotGameScores[[#This Row],[Team Number]]&gt;0,MIN(_xlfn.RANK.EQ(RobotGameScores[[#This Row],[Highest Robot Game Score]],RobotGameScores[Highest Robot Game Score],0),NumberOfTeams),NumberOfTeams+1)</f>
        <v>1</v>
      </c>
      <c r="B120" s="12">
        <f>_xlfn.XLOOKUP(119,OfficialTeamList[Row],OfficialTeamList[Team Number],"ERROR",0)</f>
        <v>0</v>
      </c>
      <c r="C120" s="42" t="str">
        <f>_xlfn.XLOOKUP(RobotDesignResults[[#This Row],[Team Number]],OfficialTeamList[Team Number],OfficialTeamList[Team Name],"",0,)</f>
        <v/>
      </c>
      <c r="G120" s="12"/>
      <c r="H120" s="12"/>
      <c r="I120" s="88">
        <f>IF(RobotGameScores[[#This Row],[Team Number]]&gt;0,MAX(RobotGameScores[[#This Row],[Robot Game 1 Score]:[Robot Game 5 Score]]),0)</f>
        <v>0</v>
      </c>
    </row>
    <row r="121" spans="1:9" ht="30" customHeight="1" x14ac:dyDescent="0.5">
      <c r="A121">
        <f>IF(RobotGameScores[[#This Row],[Team Number]]&gt;0,MIN(_xlfn.RANK.EQ(RobotGameScores[[#This Row],[Highest Robot Game Score]],RobotGameScores[Highest Robot Game Score],0),NumberOfTeams),NumberOfTeams+1)</f>
        <v>1</v>
      </c>
      <c r="B121" s="12">
        <f>_xlfn.XLOOKUP(120,OfficialTeamList[Row],OfficialTeamList[Team Number],"ERROR",0)</f>
        <v>0</v>
      </c>
      <c r="C121" s="42" t="str">
        <f>_xlfn.XLOOKUP(RobotDesignResults[[#This Row],[Team Number]],OfficialTeamList[Team Number],OfficialTeamList[Team Name],"",0,)</f>
        <v/>
      </c>
      <c r="G121" s="12"/>
      <c r="H121" s="12"/>
      <c r="I121" s="88">
        <f>IF(RobotGameScores[[#This Row],[Team Number]]&gt;0,MAX(RobotGameScores[[#This Row],[Robot Game 1 Score]:[Robot Game 5 Score]]),0)</f>
        <v>0</v>
      </c>
    </row>
    <row r="122" spans="1:9" ht="30" customHeight="1" x14ac:dyDescent="0.5">
      <c r="A122">
        <f>IF(RobotGameScores[[#This Row],[Team Number]]&gt;0,MIN(_xlfn.RANK.EQ(RobotGameScores[[#This Row],[Highest Robot Game Score]],RobotGameScores[Highest Robot Game Score],0),NumberOfTeams),NumberOfTeams+1)</f>
        <v>1</v>
      </c>
      <c r="B122" s="12">
        <f>_xlfn.XLOOKUP(121,OfficialTeamList[Row],OfficialTeamList[Team Number],"ERROR",0)</f>
        <v>0</v>
      </c>
      <c r="C122" s="42" t="str">
        <f>_xlfn.XLOOKUP(RobotDesignResults[[#This Row],[Team Number]],OfficialTeamList[Team Number],OfficialTeamList[Team Name],"",0,)</f>
        <v/>
      </c>
      <c r="G122" s="12"/>
      <c r="H122" s="12"/>
      <c r="I122" s="88">
        <f>IF(RobotGameScores[[#This Row],[Team Number]]&gt;0,MAX(RobotGameScores[[#This Row],[Robot Game 1 Score]:[Robot Game 5 Score]]),0)</f>
        <v>0</v>
      </c>
    </row>
    <row r="123" spans="1:9" ht="30" customHeight="1" x14ac:dyDescent="0.5">
      <c r="A123">
        <f>IF(RobotGameScores[[#This Row],[Team Number]]&gt;0,MIN(_xlfn.RANK.EQ(RobotGameScores[[#This Row],[Highest Robot Game Score]],RobotGameScores[Highest Robot Game Score],0),NumberOfTeams),NumberOfTeams+1)</f>
        <v>1</v>
      </c>
      <c r="B123" s="12">
        <f>_xlfn.XLOOKUP(122,OfficialTeamList[Row],OfficialTeamList[Team Number],"ERROR",0)</f>
        <v>0</v>
      </c>
      <c r="C123" s="42" t="str">
        <f>_xlfn.XLOOKUP(RobotDesignResults[[#This Row],[Team Number]],OfficialTeamList[Team Number],OfficialTeamList[Team Name],"",0,)</f>
        <v/>
      </c>
      <c r="G123" s="12"/>
      <c r="H123" s="12"/>
      <c r="I123" s="88">
        <f>IF(RobotGameScores[[#This Row],[Team Number]]&gt;0,MAX(RobotGameScores[[#This Row],[Robot Game 1 Score]:[Robot Game 5 Score]]),0)</f>
        <v>0</v>
      </c>
    </row>
    <row r="124" spans="1:9" ht="30" customHeight="1" x14ac:dyDescent="0.5">
      <c r="A124">
        <f>IF(RobotGameScores[[#This Row],[Team Number]]&gt;0,MIN(_xlfn.RANK.EQ(RobotGameScores[[#This Row],[Highest Robot Game Score]],RobotGameScores[Highest Robot Game Score],0),NumberOfTeams),NumberOfTeams+1)</f>
        <v>1</v>
      </c>
      <c r="B124" s="12">
        <f>_xlfn.XLOOKUP(123,OfficialTeamList[Row],OfficialTeamList[Team Number],"ERROR",0)</f>
        <v>0</v>
      </c>
      <c r="C124" s="42" t="str">
        <f>_xlfn.XLOOKUP(RobotDesignResults[[#This Row],[Team Number]],OfficialTeamList[Team Number],OfficialTeamList[Team Name],"",0,)</f>
        <v/>
      </c>
      <c r="G124" s="12"/>
      <c r="H124" s="12"/>
      <c r="I124" s="88">
        <f>IF(RobotGameScores[[#This Row],[Team Number]]&gt;0,MAX(RobotGameScores[[#This Row],[Robot Game 1 Score]:[Robot Game 5 Score]]),0)</f>
        <v>0</v>
      </c>
    </row>
    <row r="125" spans="1:9" ht="30" customHeight="1" x14ac:dyDescent="0.5">
      <c r="A125">
        <f>IF(RobotGameScores[[#This Row],[Team Number]]&gt;0,MIN(_xlfn.RANK.EQ(RobotGameScores[[#This Row],[Highest Robot Game Score]],RobotGameScores[Highest Robot Game Score],0),NumberOfTeams),NumberOfTeams+1)</f>
        <v>1</v>
      </c>
      <c r="B125" s="12">
        <f>_xlfn.XLOOKUP(124,OfficialTeamList[Row],OfficialTeamList[Team Number],"ERROR",0)</f>
        <v>0</v>
      </c>
      <c r="C125" s="42" t="str">
        <f>_xlfn.XLOOKUP(RobotDesignResults[[#This Row],[Team Number]],OfficialTeamList[Team Number],OfficialTeamList[Team Name],"",0,)</f>
        <v/>
      </c>
      <c r="G125" s="12"/>
      <c r="H125" s="12"/>
      <c r="I125" s="88">
        <f>IF(RobotGameScores[[#This Row],[Team Number]]&gt;0,MAX(RobotGameScores[[#This Row],[Robot Game 1 Score]:[Robot Game 5 Score]]),0)</f>
        <v>0</v>
      </c>
    </row>
    <row r="126" spans="1:9" ht="30" customHeight="1" x14ac:dyDescent="0.5">
      <c r="A126">
        <f>IF(RobotGameScores[[#This Row],[Team Number]]&gt;0,MIN(_xlfn.RANK.EQ(RobotGameScores[[#This Row],[Highest Robot Game Score]],RobotGameScores[Highest Robot Game Score],0),NumberOfTeams),NumberOfTeams+1)</f>
        <v>1</v>
      </c>
      <c r="B126" s="12">
        <f>_xlfn.XLOOKUP(125,OfficialTeamList[Row],OfficialTeamList[Team Number],"ERROR",0)</f>
        <v>0</v>
      </c>
      <c r="C126" s="42" t="str">
        <f>_xlfn.XLOOKUP(RobotDesignResults[[#This Row],[Team Number]],OfficialTeamList[Team Number],OfficialTeamList[Team Name],"",0,)</f>
        <v/>
      </c>
      <c r="G126" s="12"/>
      <c r="H126" s="12"/>
      <c r="I126" s="88">
        <f>IF(RobotGameScores[[#This Row],[Team Number]]&gt;0,MAX(RobotGameScores[[#This Row],[Robot Game 1 Score]:[Robot Game 5 Score]]),0)</f>
        <v>0</v>
      </c>
    </row>
    <row r="127" spans="1:9" ht="30" customHeight="1" x14ac:dyDescent="0.5">
      <c r="A127">
        <f>IF(RobotGameScores[[#This Row],[Team Number]]&gt;0,MIN(_xlfn.RANK.EQ(RobotGameScores[[#This Row],[Highest Robot Game Score]],RobotGameScores[Highest Robot Game Score],0),NumberOfTeams),NumberOfTeams+1)</f>
        <v>1</v>
      </c>
      <c r="B127" s="12">
        <f>_xlfn.XLOOKUP(126,OfficialTeamList[Row],OfficialTeamList[Team Number],"ERROR",0)</f>
        <v>0</v>
      </c>
      <c r="C127" s="42" t="str">
        <f>_xlfn.XLOOKUP(RobotDesignResults[[#This Row],[Team Number]],OfficialTeamList[Team Number],OfficialTeamList[Team Name],"",0,)</f>
        <v/>
      </c>
      <c r="G127" s="12"/>
      <c r="H127" s="12"/>
      <c r="I127" s="88">
        <f>IF(RobotGameScores[[#This Row],[Team Number]]&gt;0,MAX(RobotGameScores[[#This Row],[Robot Game 1 Score]:[Robot Game 5 Score]]),0)</f>
        <v>0</v>
      </c>
    </row>
    <row r="128" spans="1:9" ht="30" customHeight="1" x14ac:dyDescent="0.5">
      <c r="A128">
        <f>IF(RobotGameScores[[#This Row],[Team Number]]&gt;0,MIN(_xlfn.RANK.EQ(RobotGameScores[[#This Row],[Highest Robot Game Score]],RobotGameScores[Highest Robot Game Score],0),NumberOfTeams),NumberOfTeams+1)</f>
        <v>1</v>
      </c>
      <c r="B128" s="12">
        <f>_xlfn.XLOOKUP(127,OfficialTeamList[Row],OfficialTeamList[Team Number],"ERROR",0)</f>
        <v>0</v>
      </c>
      <c r="C128" s="42" t="str">
        <f>_xlfn.XLOOKUP(RobotDesignResults[[#This Row],[Team Number]],OfficialTeamList[Team Number],OfficialTeamList[Team Name],"",0,)</f>
        <v/>
      </c>
      <c r="G128" s="12"/>
      <c r="H128" s="12"/>
      <c r="I128" s="88">
        <f>IF(RobotGameScores[[#This Row],[Team Number]]&gt;0,MAX(RobotGameScores[[#This Row],[Robot Game 1 Score]:[Robot Game 5 Score]]),0)</f>
        <v>0</v>
      </c>
    </row>
    <row r="129" spans="1:9" ht="30" customHeight="1" x14ac:dyDescent="0.5">
      <c r="A129">
        <f>IF(RobotGameScores[[#This Row],[Team Number]]&gt;0,MIN(_xlfn.RANK.EQ(RobotGameScores[[#This Row],[Highest Robot Game Score]],RobotGameScores[Highest Robot Game Score],0),NumberOfTeams),NumberOfTeams+1)</f>
        <v>1</v>
      </c>
      <c r="B129" s="12">
        <f>_xlfn.XLOOKUP(128,OfficialTeamList[Row],OfficialTeamList[Team Number],"ERROR",0)</f>
        <v>0</v>
      </c>
      <c r="C129" s="42" t="str">
        <f>_xlfn.XLOOKUP(RobotDesignResults[[#This Row],[Team Number]],OfficialTeamList[Team Number],OfficialTeamList[Team Name],"",0,)</f>
        <v/>
      </c>
      <c r="G129" s="12"/>
      <c r="H129" s="12"/>
      <c r="I129" s="88">
        <f>IF(RobotGameScores[[#This Row],[Team Number]]&gt;0,MAX(RobotGameScores[[#This Row],[Robot Game 1 Score]:[Robot Game 5 Score]]),0)</f>
        <v>0</v>
      </c>
    </row>
    <row r="130" spans="1:9" ht="30" customHeight="1" x14ac:dyDescent="0.5">
      <c r="A130">
        <f>IF(RobotGameScores[[#This Row],[Team Number]]&gt;0,MIN(_xlfn.RANK.EQ(RobotGameScores[[#This Row],[Highest Robot Game Score]],RobotGameScores[Highest Robot Game Score],0),NumberOfTeams),NumberOfTeams+1)</f>
        <v>1</v>
      </c>
      <c r="B130" s="12">
        <f>_xlfn.XLOOKUP(129,OfficialTeamList[Row],OfficialTeamList[Team Number],"ERROR",0)</f>
        <v>0</v>
      </c>
      <c r="C130" s="42" t="str">
        <f>_xlfn.XLOOKUP(RobotDesignResults[[#This Row],[Team Number]],OfficialTeamList[Team Number],OfficialTeamList[Team Name],"",0,)</f>
        <v/>
      </c>
      <c r="G130" s="12"/>
      <c r="H130" s="12"/>
      <c r="I130" s="88">
        <f>IF(RobotGameScores[[#This Row],[Team Number]]&gt;0,MAX(RobotGameScores[[#This Row],[Robot Game 1 Score]:[Robot Game 5 Score]]),0)</f>
        <v>0</v>
      </c>
    </row>
    <row r="131" spans="1:9" ht="30" customHeight="1" x14ac:dyDescent="0.5">
      <c r="A131">
        <f>IF(RobotGameScores[[#This Row],[Team Number]]&gt;0,MIN(_xlfn.RANK.EQ(RobotGameScores[[#This Row],[Highest Robot Game Score]],RobotGameScores[Highest Robot Game Score],0),NumberOfTeams),NumberOfTeams+1)</f>
        <v>1</v>
      </c>
      <c r="B131" s="12">
        <f>_xlfn.XLOOKUP(130,OfficialTeamList[Row],OfficialTeamList[Team Number],"ERROR",0)</f>
        <v>0</v>
      </c>
      <c r="C131" s="42" t="str">
        <f>_xlfn.XLOOKUP(RobotDesignResults[[#This Row],[Team Number]],OfficialTeamList[Team Number],OfficialTeamList[Team Name],"",0,)</f>
        <v/>
      </c>
      <c r="G131" s="12"/>
      <c r="H131" s="12"/>
      <c r="I131" s="88">
        <f>IF(RobotGameScores[[#This Row],[Team Number]]&gt;0,MAX(RobotGameScores[[#This Row],[Robot Game 1 Score]:[Robot Game 5 Score]]),0)</f>
        <v>0</v>
      </c>
    </row>
    <row r="132" spans="1:9" ht="30" customHeight="1" x14ac:dyDescent="0.5">
      <c r="A132">
        <f>IF(RobotGameScores[[#This Row],[Team Number]]&gt;0,MIN(_xlfn.RANK.EQ(RobotGameScores[[#This Row],[Highest Robot Game Score]],RobotGameScores[Highest Robot Game Score],0),NumberOfTeams),NumberOfTeams+1)</f>
        <v>1</v>
      </c>
      <c r="B132" s="12">
        <f>_xlfn.XLOOKUP(131,OfficialTeamList[Row],OfficialTeamList[Team Number],"ERROR",0)</f>
        <v>0</v>
      </c>
      <c r="C132" s="42" t="str">
        <f>_xlfn.XLOOKUP(RobotDesignResults[[#This Row],[Team Number]],OfficialTeamList[Team Number],OfficialTeamList[Team Name],"",0,)</f>
        <v/>
      </c>
      <c r="G132" s="12"/>
      <c r="H132" s="12"/>
      <c r="I132" s="88">
        <f>IF(RobotGameScores[[#This Row],[Team Number]]&gt;0,MAX(RobotGameScores[[#This Row],[Robot Game 1 Score]:[Robot Game 5 Score]]),0)</f>
        <v>0</v>
      </c>
    </row>
    <row r="133" spans="1:9" ht="30" customHeight="1" x14ac:dyDescent="0.5">
      <c r="A133">
        <f>IF(RobotGameScores[[#This Row],[Team Number]]&gt;0,MIN(_xlfn.RANK.EQ(RobotGameScores[[#This Row],[Highest Robot Game Score]],RobotGameScores[Highest Robot Game Score],0),NumberOfTeams),NumberOfTeams+1)</f>
        <v>1</v>
      </c>
      <c r="B133" s="12">
        <f>_xlfn.XLOOKUP(132,OfficialTeamList[Row],OfficialTeamList[Team Number],"ERROR",0)</f>
        <v>0</v>
      </c>
      <c r="C133" s="42" t="str">
        <f>_xlfn.XLOOKUP(RobotDesignResults[[#This Row],[Team Number]],OfficialTeamList[Team Number],OfficialTeamList[Team Name],"",0,)</f>
        <v/>
      </c>
      <c r="G133" s="12"/>
      <c r="H133" s="12"/>
      <c r="I133" s="88">
        <f>IF(RobotGameScores[[#This Row],[Team Number]]&gt;0,MAX(RobotGameScores[[#This Row],[Robot Game 1 Score]:[Robot Game 5 Score]]),0)</f>
        <v>0</v>
      </c>
    </row>
    <row r="134" spans="1:9" ht="30" customHeight="1" x14ac:dyDescent="0.5">
      <c r="A134">
        <f>IF(RobotGameScores[[#This Row],[Team Number]]&gt;0,MIN(_xlfn.RANK.EQ(RobotGameScores[[#This Row],[Highest Robot Game Score]],RobotGameScores[Highest Robot Game Score],0),NumberOfTeams),NumberOfTeams+1)</f>
        <v>1</v>
      </c>
      <c r="B134" s="12">
        <f>_xlfn.XLOOKUP(133,OfficialTeamList[Row],OfficialTeamList[Team Number],"ERROR",0)</f>
        <v>0</v>
      </c>
      <c r="C134" s="42" t="str">
        <f>_xlfn.XLOOKUP(RobotDesignResults[[#This Row],[Team Number]],OfficialTeamList[Team Number],OfficialTeamList[Team Name],"",0,)</f>
        <v/>
      </c>
      <c r="G134" s="12"/>
      <c r="H134" s="12"/>
      <c r="I134" s="88">
        <f>IF(RobotGameScores[[#This Row],[Team Number]]&gt;0,MAX(RobotGameScores[[#This Row],[Robot Game 1 Score]:[Robot Game 5 Score]]),0)</f>
        <v>0</v>
      </c>
    </row>
    <row r="135" spans="1:9" ht="30" customHeight="1" x14ac:dyDescent="0.5">
      <c r="A135">
        <f>IF(RobotGameScores[[#This Row],[Team Number]]&gt;0,MIN(_xlfn.RANK.EQ(RobotGameScores[[#This Row],[Highest Robot Game Score]],RobotGameScores[Highest Robot Game Score],0),NumberOfTeams),NumberOfTeams+1)</f>
        <v>1</v>
      </c>
      <c r="B135" s="12">
        <f>_xlfn.XLOOKUP(134,OfficialTeamList[Row],OfficialTeamList[Team Number],"ERROR",0)</f>
        <v>0</v>
      </c>
      <c r="C135" s="42" t="str">
        <f>_xlfn.XLOOKUP(RobotDesignResults[[#This Row],[Team Number]],OfficialTeamList[Team Number],OfficialTeamList[Team Name],"",0,)</f>
        <v/>
      </c>
      <c r="G135" s="12"/>
      <c r="H135" s="12"/>
      <c r="I135" s="88">
        <f>IF(RobotGameScores[[#This Row],[Team Number]]&gt;0,MAX(RobotGameScores[[#This Row],[Robot Game 1 Score]:[Robot Game 5 Score]]),0)</f>
        <v>0</v>
      </c>
    </row>
    <row r="136" spans="1:9" ht="30" customHeight="1" x14ac:dyDescent="0.5">
      <c r="A136">
        <f>IF(RobotGameScores[[#This Row],[Team Number]]&gt;0,MIN(_xlfn.RANK.EQ(RobotGameScores[[#This Row],[Highest Robot Game Score]],RobotGameScores[Highest Robot Game Score],0),NumberOfTeams),NumberOfTeams+1)</f>
        <v>1</v>
      </c>
      <c r="B136" s="12">
        <f>_xlfn.XLOOKUP(135,OfficialTeamList[Row],OfficialTeamList[Team Number],"ERROR",0)</f>
        <v>0</v>
      </c>
      <c r="C136" s="42" t="str">
        <f>_xlfn.XLOOKUP(RobotDesignResults[[#This Row],[Team Number]],OfficialTeamList[Team Number],OfficialTeamList[Team Name],"",0,)</f>
        <v/>
      </c>
      <c r="G136" s="12"/>
      <c r="H136" s="12"/>
      <c r="I136" s="88">
        <f>IF(RobotGameScores[[#This Row],[Team Number]]&gt;0,MAX(RobotGameScores[[#This Row],[Robot Game 1 Score]:[Robot Game 5 Score]]),0)</f>
        <v>0</v>
      </c>
    </row>
    <row r="137" spans="1:9" ht="30" customHeight="1" x14ac:dyDescent="0.5">
      <c r="A137">
        <f>IF(RobotGameScores[[#This Row],[Team Number]]&gt;0,MIN(_xlfn.RANK.EQ(RobotGameScores[[#This Row],[Highest Robot Game Score]],RobotGameScores[Highest Robot Game Score],0),NumberOfTeams),NumberOfTeams+1)</f>
        <v>1</v>
      </c>
      <c r="B137" s="12">
        <f>_xlfn.XLOOKUP(136,OfficialTeamList[Row],OfficialTeamList[Team Number],"ERROR",0)</f>
        <v>0</v>
      </c>
      <c r="C137" s="42" t="str">
        <f>_xlfn.XLOOKUP(RobotDesignResults[[#This Row],[Team Number]],OfficialTeamList[Team Number],OfficialTeamList[Team Name],"",0,)</f>
        <v/>
      </c>
      <c r="G137" s="12"/>
      <c r="H137" s="12"/>
      <c r="I137" s="88">
        <f>IF(RobotGameScores[[#This Row],[Team Number]]&gt;0,MAX(RobotGameScores[[#This Row],[Robot Game 1 Score]:[Robot Game 5 Score]]),0)</f>
        <v>0</v>
      </c>
    </row>
    <row r="138" spans="1:9" ht="30" customHeight="1" x14ac:dyDescent="0.5">
      <c r="A138">
        <f>IF(RobotGameScores[[#This Row],[Team Number]]&gt;0,MIN(_xlfn.RANK.EQ(RobotGameScores[[#This Row],[Highest Robot Game Score]],RobotGameScores[Highest Robot Game Score],0),NumberOfTeams),NumberOfTeams+1)</f>
        <v>1</v>
      </c>
      <c r="B138" s="12">
        <f>_xlfn.XLOOKUP(137,OfficialTeamList[Row],OfficialTeamList[Team Number],"ERROR",0)</f>
        <v>0</v>
      </c>
      <c r="C138" s="42" t="str">
        <f>_xlfn.XLOOKUP(RobotDesignResults[[#This Row],[Team Number]],OfficialTeamList[Team Number],OfficialTeamList[Team Name],"",0,)</f>
        <v/>
      </c>
      <c r="G138" s="12"/>
      <c r="H138" s="12"/>
      <c r="I138" s="88">
        <f>IF(RobotGameScores[[#This Row],[Team Number]]&gt;0,MAX(RobotGameScores[[#This Row],[Robot Game 1 Score]:[Robot Game 5 Score]]),0)</f>
        <v>0</v>
      </c>
    </row>
    <row r="139" spans="1:9" ht="30" customHeight="1" x14ac:dyDescent="0.5">
      <c r="A139">
        <f>IF(RobotGameScores[[#This Row],[Team Number]]&gt;0,MIN(_xlfn.RANK.EQ(RobotGameScores[[#This Row],[Highest Robot Game Score]],RobotGameScores[Highest Robot Game Score],0),NumberOfTeams),NumberOfTeams+1)</f>
        <v>1</v>
      </c>
      <c r="B139" s="12">
        <f>_xlfn.XLOOKUP(138,OfficialTeamList[Row],OfficialTeamList[Team Number],"ERROR",0)</f>
        <v>0</v>
      </c>
      <c r="C139" s="42" t="str">
        <f>_xlfn.XLOOKUP(RobotDesignResults[[#This Row],[Team Number]],OfficialTeamList[Team Number],OfficialTeamList[Team Name],"",0,)</f>
        <v/>
      </c>
      <c r="G139" s="12"/>
      <c r="H139" s="12"/>
      <c r="I139" s="88">
        <f>IF(RobotGameScores[[#This Row],[Team Number]]&gt;0,MAX(RobotGameScores[[#This Row],[Robot Game 1 Score]:[Robot Game 5 Score]]),0)</f>
        <v>0</v>
      </c>
    </row>
    <row r="140" spans="1:9" ht="30" customHeight="1" x14ac:dyDescent="0.5">
      <c r="A140">
        <f>IF(RobotGameScores[[#This Row],[Team Number]]&gt;0,MIN(_xlfn.RANK.EQ(RobotGameScores[[#This Row],[Highest Robot Game Score]],RobotGameScores[Highest Robot Game Score],0),NumberOfTeams),NumberOfTeams+1)</f>
        <v>1</v>
      </c>
      <c r="B140" s="12">
        <f>_xlfn.XLOOKUP(139,OfficialTeamList[Row],OfficialTeamList[Team Number],"ERROR",0)</f>
        <v>0</v>
      </c>
      <c r="C140" s="42" t="str">
        <f>_xlfn.XLOOKUP(RobotDesignResults[[#This Row],[Team Number]],OfficialTeamList[Team Number],OfficialTeamList[Team Name],"",0,)</f>
        <v/>
      </c>
      <c r="G140" s="12"/>
      <c r="H140" s="12"/>
      <c r="I140" s="88">
        <f>IF(RobotGameScores[[#This Row],[Team Number]]&gt;0,MAX(RobotGameScores[[#This Row],[Robot Game 1 Score]:[Robot Game 5 Score]]),0)</f>
        <v>0</v>
      </c>
    </row>
    <row r="141" spans="1:9" ht="30" customHeight="1" x14ac:dyDescent="0.5">
      <c r="A141">
        <f>IF(RobotGameScores[[#This Row],[Team Number]]&gt;0,MIN(_xlfn.RANK.EQ(RobotGameScores[[#This Row],[Highest Robot Game Score]],RobotGameScores[Highest Robot Game Score],0),NumberOfTeams),NumberOfTeams+1)</f>
        <v>1</v>
      </c>
      <c r="B141" s="12">
        <f>_xlfn.XLOOKUP(140,OfficialTeamList[Row],OfficialTeamList[Team Number],"ERROR",0)</f>
        <v>0</v>
      </c>
      <c r="C141" s="42" t="str">
        <f>_xlfn.XLOOKUP(RobotDesignResults[[#This Row],[Team Number]],OfficialTeamList[Team Number],OfficialTeamList[Team Name],"",0,)</f>
        <v/>
      </c>
      <c r="G141" s="12"/>
      <c r="H141" s="12"/>
      <c r="I141" s="88">
        <f>IF(RobotGameScores[[#This Row],[Team Number]]&gt;0,MAX(RobotGameScores[[#This Row],[Robot Game 1 Score]:[Robot Game 5 Score]]),0)</f>
        <v>0</v>
      </c>
    </row>
    <row r="142" spans="1:9" ht="30" customHeight="1" x14ac:dyDescent="0.5">
      <c r="A142">
        <f>IF(RobotGameScores[[#This Row],[Team Number]]&gt;0,MIN(_xlfn.RANK.EQ(RobotGameScores[[#This Row],[Highest Robot Game Score]],RobotGameScores[Highest Robot Game Score],0),NumberOfTeams),NumberOfTeams+1)</f>
        <v>1</v>
      </c>
      <c r="B142" s="12">
        <f>_xlfn.XLOOKUP(141,OfficialTeamList[Row],OfficialTeamList[Team Number],"ERROR",0)</f>
        <v>0</v>
      </c>
      <c r="C142" s="42" t="str">
        <f>_xlfn.XLOOKUP(RobotDesignResults[[#This Row],[Team Number]],OfficialTeamList[Team Number],OfficialTeamList[Team Name],"",0,)</f>
        <v/>
      </c>
      <c r="G142" s="12"/>
      <c r="H142" s="12"/>
      <c r="I142" s="88">
        <f>IF(RobotGameScores[[#This Row],[Team Number]]&gt;0,MAX(RobotGameScores[[#This Row],[Robot Game 1 Score]:[Robot Game 5 Score]]),0)</f>
        <v>0</v>
      </c>
    </row>
    <row r="143" spans="1:9" ht="30" customHeight="1" x14ac:dyDescent="0.5">
      <c r="A143">
        <f>IF(RobotGameScores[[#This Row],[Team Number]]&gt;0,MIN(_xlfn.RANK.EQ(RobotGameScores[[#This Row],[Highest Robot Game Score]],RobotGameScores[Highest Robot Game Score],0),NumberOfTeams),NumberOfTeams+1)</f>
        <v>1</v>
      </c>
      <c r="B143" s="12">
        <f>_xlfn.XLOOKUP(142,OfficialTeamList[Row],OfficialTeamList[Team Number],"ERROR",0)</f>
        <v>0</v>
      </c>
      <c r="C143" s="42" t="str">
        <f>_xlfn.XLOOKUP(RobotDesignResults[[#This Row],[Team Number]],OfficialTeamList[Team Number],OfficialTeamList[Team Name],"",0,)</f>
        <v/>
      </c>
      <c r="G143" s="12"/>
      <c r="H143" s="12"/>
      <c r="I143" s="88">
        <f>IF(RobotGameScores[[#This Row],[Team Number]]&gt;0,MAX(RobotGameScores[[#This Row],[Robot Game 1 Score]:[Robot Game 5 Score]]),0)</f>
        <v>0</v>
      </c>
    </row>
    <row r="144" spans="1:9" ht="30" customHeight="1" x14ac:dyDescent="0.5">
      <c r="A144">
        <f>IF(RobotGameScores[[#This Row],[Team Number]]&gt;0,MIN(_xlfn.RANK.EQ(RobotGameScores[[#This Row],[Highest Robot Game Score]],RobotGameScores[Highest Robot Game Score],0),NumberOfTeams),NumberOfTeams+1)</f>
        <v>1</v>
      </c>
      <c r="B144" s="12">
        <f>_xlfn.XLOOKUP(143,OfficialTeamList[Row],OfficialTeamList[Team Number],"ERROR",0)</f>
        <v>0</v>
      </c>
      <c r="C144" s="42" t="str">
        <f>_xlfn.XLOOKUP(RobotDesignResults[[#This Row],[Team Number]],OfficialTeamList[Team Number],OfficialTeamList[Team Name],"",0,)</f>
        <v/>
      </c>
      <c r="G144" s="12"/>
      <c r="H144" s="12"/>
      <c r="I144" s="88">
        <f>IF(RobotGameScores[[#This Row],[Team Number]]&gt;0,MAX(RobotGameScores[[#This Row],[Robot Game 1 Score]:[Robot Game 5 Score]]),0)</f>
        <v>0</v>
      </c>
    </row>
    <row r="145" spans="1:9" ht="30" customHeight="1" x14ac:dyDescent="0.5">
      <c r="A145">
        <f>IF(RobotGameScores[[#This Row],[Team Number]]&gt;0,MIN(_xlfn.RANK.EQ(RobotGameScores[[#This Row],[Highest Robot Game Score]],RobotGameScores[Highest Robot Game Score],0),NumberOfTeams),NumberOfTeams+1)</f>
        <v>1</v>
      </c>
      <c r="B145" s="12">
        <f>_xlfn.XLOOKUP(144,OfficialTeamList[Row],OfficialTeamList[Team Number],"ERROR",0)</f>
        <v>0</v>
      </c>
      <c r="C145" s="42" t="str">
        <f>_xlfn.XLOOKUP(RobotDesignResults[[#This Row],[Team Number]],OfficialTeamList[Team Number],OfficialTeamList[Team Name],"",0,)</f>
        <v/>
      </c>
      <c r="G145" s="12"/>
      <c r="H145" s="12"/>
      <c r="I145" s="88">
        <f>IF(RobotGameScores[[#This Row],[Team Number]]&gt;0,MAX(RobotGameScores[[#This Row],[Robot Game 1 Score]:[Robot Game 5 Score]]),0)</f>
        <v>0</v>
      </c>
    </row>
    <row r="146" spans="1:9" ht="30" customHeight="1" x14ac:dyDescent="0.5">
      <c r="A146">
        <f>IF(RobotGameScores[[#This Row],[Team Number]]&gt;0,MIN(_xlfn.RANK.EQ(RobotGameScores[[#This Row],[Highest Robot Game Score]],RobotGameScores[Highest Robot Game Score],0),NumberOfTeams),NumberOfTeams+1)</f>
        <v>1</v>
      </c>
      <c r="B146" s="12">
        <f>_xlfn.XLOOKUP(145,OfficialTeamList[Row],OfficialTeamList[Team Number],"ERROR",0)</f>
        <v>0</v>
      </c>
      <c r="C146" s="42" t="str">
        <f>_xlfn.XLOOKUP(RobotDesignResults[[#This Row],[Team Number]],OfficialTeamList[Team Number],OfficialTeamList[Team Name],"",0,)</f>
        <v/>
      </c>
      <c r="G146" s="12"/>
      <c r="H146" s="12"/>
      <c r="I146" s="88">
        <f>IF(RobotGameScores[[#This Row],[Team Number]]&gt;0,MAX(RobotGameScores[[#This Row],[Robot Game 1 Score]:[Robot Game 5 Score]]),0)</f>
        <v>0</v>
      </c>
    </row>
    <row r="147" spans="1:9" ht="30" customHeight="1" x14ac:dyDescent="0.5">
      <c r="A147">
        <f>IF(RobotGameScores[[#This Row],[Team Number]]&gt;0,MIN(_xlfn.RANK.EQ(RobotGameScores[[#This Row],[Highest Robot Game Score]],RobotGameScores[Highest Robot Game Score],0),NumberOfTeams),NumberOfTeams+1)</f>
        <v>1</v>
      </c>
      <c r="B147" s="12">
        <f>_xlfn.XLOOKUP(146,OfficialTeamList[Row],OfficialTeamList[Team Number],"ERROR",0)</f>
        <v>0</v>
      </c>
      <c r="C147" s="42" t="str">
        <f>_xlfn.XLOOKUP(RobotDesignResults[[#This Row],[Team Number]],OfficialTeamList[Team Number],OfficialTeamList[Team Name],"",0,)</f>
        <v/>
      </c>
      <c r="G147" s="12"/>
      <c r="H147" s="12"/>
      <c r="I147" s="88">
        <f>IF(RobotGameScores[[#This Row],[Team Number]]&gt;0,MAX(RobotGameScores[[#This Row],[Robot Game 1 Score]:[Robot Game 5 Score]]),0)</f>
        <v>0</v>
      </c>
    </row>
    <row r="148" spans="1:9" ht="30" customHeight="1" x14ac:dyDescent="0.5">
      <c r="A148">
        <f>IF(RobotGameScores[[#This Row],[Team Number]]&gt;0,MIN(_xlfn.RANK.EQ(RobotGameScores[[#This Row],[Highest Robot Game Score]],RobotGameScores[Highest Robot Game Score],0),NumberOfTeams),NumberOfTeams+1)</f>
        <v>1</v>
      </c>
      <c r="B148" s="12">
        <f>_xlfn.XLOOKUP(147,OfficialTeamList[Row],OfficialTeamList[Team Number],"ERROR",0)</f>
        <v>0</v>
      </c>
      <c r="C148" s="42" t="str">
        <f>_xlfn.XLOOKUP(RobotDesignResults[[#This Row],[Team Number]],OfficialTeamList[Team Number],OfficialTeamList[Team Name],"",0,)</f>
        <v/>
      </c>
      <c r="G148" s="12"/>
      <c r="H148" s="12"/>
      <c r="I148" s="88">
        <f>IF(RobotGameScores[[#This Row],[Team Number]]&gt;0,MAX(RobotGameScores[[#This Row],[Robot Game 1 Score]:[Robot Game 5 Score]]),0)</f>
        <v>0</v>
      </c>
    </row>
    <row r="149" spans="1:9" ht="30" customHeight="1" x14ac:dyDescent="0.5">
      <c r="A149">
        <f>IF(RobotGameScores[[#This Row],[Team Number]]&gt;0,MIN(_xlfn.RANK.EQ(RobotGameScores[[#This Row],[Highest Robot Game Score]],RobotGameScores[Highest Robot Game Score],0),NumberOfTeams),NumberOfTeams+1)</f>
        <v>1</v>
      </c>
      <c r="B149" s="12">
        <f>_xlfn.XLOOKUP(148,OfficialTeamList[Row],OfficialTeamList[Team Number],"ERROR",0)</f>
        <v>0</v>
      </c>
      <c r="C149" s="42" t="str">
        <f>_xlfn.XLOOKUP(RobotDesignResults[[#This Row],[Team Number]],OfficialTeamList[Team Number],OfficialTeamList[Team Name],"",0,)</f>
        <v/>
      </c>
      <c r="G149" s="12"/>
      <c r="H149" s="12"/>
      <c r="I149" s="88">
        <f>IF(RobotGameScores[[#This Row],[Team Number]]&gt;0,MAX(RobotGameScores[[#This Row],[Robot Game 1 Score]:[Robot Game 5 Score]]),0)</f>
        <v>0</v>
      </c>
    </row>
    <row r="150" spans="1:9" ht="30" customHeight="1" x14ac:dyDescent="0.5">
      <c r="A150">
        <f>IF(RobotGameScores[[#This Row],[Team Number]]&gt;0,MIN(_xlfn.RANK.EQ(RobotGameScores[[#This Row],[Highest Robot Game Score]],RobotGameScores[Highest Robot Game Score],0),NumberOfTeams),NumberOfTeams+1)</f>
        <v>1</v>
      </c>
      <c r="B150" s="12">
        <f>_xlfn.XLOOKUP(149,OfficialTeamList[Row],OfficialTeamList[Team Number],"ERROR",0)</f>
        <v>0</v>
      </c>
      <c r="C150" s="42" t="str">
        <f>_xlfn.XLOOKUP(RobotDesignResults[[#This Row],[Team Number]],OfficialTeamList[Team Number],OfficialTeamList[Team Name],"",0,)</f>
        <v/>
      </c>
      <c r="G150" s="12"/>
      <c r="H150" s="12"/>
      <c r="I150" s="88">
        <f>IF(RobotGameScores[[#This Row],[Team Number]]&gt;0,MAX(RobotGameScores[[#This Row],[Robot Game 1 Score]:[Robot Game 5 Score]]),0)</f>
        <v>0</v>
      </c>
    </row>
    <row r="151" spans="1:9" ht="30" customHeight="1" x14ac:dyDescent="0.5">
      <c r="A151">
        <f>IF(RobotGameScores[[#This Row],[Team Number]]&gt;0,MIN(_xlfn.RANK.EQ(RobotGameScores[[#This Row],[Highest Robot Game Score]],RobotGameScores[Highest Robot Game Score],0),NumberOfTeams),NumberOfTeams+1)</f>
        <v>1</v>
      </c>
      <c r="B151" s="12">
        <f>_xlfn.XLOOKUP(150,OfficialTeamList[Row],OfficialTeamList[Team Number],"ERROR",0)</f>
        <v>0</v>
      </c>
      <c r="C151" s="42" t="str">
        <f>_xlfn.XLOOKUP(RobotDesignResults[[#This Row],[Team Number]],OfficialTeamList[Team Number],OfficialTeamList[Team Name],"",0,)</f>
        <v/>
      </c>
      <c r="G151" s="12"/>
      <c r="H151" s="12"/>
      <c r="I151" s="88">
        <f>IF(RobotGameScores[[#This Row],[Team Number]]&gt;0,MAX(RobotGameScores[[#This Row],[Robot Game 1 Score]:[Robot Game 5 Score]]),0)</f>
        <v>0</v>
      </c>
    </row>
    <row r="152" spans="1:9" ht="30" customHeight="1" x14ac:dyDescent="0.5">
      <c r="A152">
        <f>IF(RobotGameScores[[#This Row],[Team Number]]&gt;0,MIN(_xlfn.RANK.EQ(RobotGameScores[[#This Row],[Highest Robot Game Score]],RobotGameScores[Highest Robot Game Score],0),NumberOfTeams),NumberOfTeams+1)</f>
        <v>1</v>
      </c>
      <c r="B152" s="12">
        <f>_xlfn.XLOOKUP(151,OfficialTeamList[Row],OfficialTeamList[Team Number],"ERROR",0)</f>
        <v>0</v>
      </c>
      <c r="C152" s="42" t="str">
        <f>_xlfn.XLOOKUP(RobotDesignResults[[#This Row],[Team Number]],OfficialTeamList[Team Number],OfficialTeamList[Team Name],"",0,)</f>
        <v/>
      </c>
      <c r="G152" s="12"/>
      <c r="H152" s="12"/>
      <c r="I152" s="88">
        <f>IF(RobotGameScores[[#This Row],[Team Number]]&gt;0,MAX(RobotGameScores[[#This Row],[Robot Game 1 Score]:[Robot Game 5 Score]]),0)</f>
        <v>0</v>
      </c>
    </row>
    <row r="153" spans="1:9" ht="30" customHeight="1" x14ac:dyDescent="0.5">
      <c r="A153">
        <f>IF(RobotGameScores[[#This Row],[Team Number]]&gt;0,MIN(_xlfn.RANK.EQ(RobotGameScores[[#This Row],[Highest Robot Game Score]],RobotGameScores[Highest Robot Game Score],0),NumberOfTeams),NumberOfTeams+1)</f>
        <v>1</v>
      </c>
      <c r="B153" s="12">
        <f>_xlfn.XLOOKUP(152,OfficialTeamList[Row],OfficialTeamList[Team Number],"ERROR",0)</f>
        <v>0</v>
      </c>
      <c r="C153" s="42" t="str">
        <f>_xlfn.XLOOKUP(RobotDesignResults[[#This Row],[Team Number]],OfficialTeamList[Team Number],OfficialTeamList[Team Name],"",0,)</f>
        <v/>
      </c>
      <c r="G153" s="12"/>
      <c r="H153" s="12"/>
      <c r="I153" s="88">
        <f>IF(RobotGameScores[[#This Row],[Team Number]]&gt;0,MAX(RobotGameScores[[#This Row],[Robot Game 1 Score]:[Robot Game 5 Score]]),0)</f>
        <v>0</v>
      </c>
    </row>
    <row r="154" spans="1:9" ht="30" customHeight="1" x14ac:dyDescent="0.5">
      <c r="A154">
        <f>IF(RobotGameScores[[#This Row],[Team Number]]&gt;0,MIN(_xlfn.RANK.EQ(RobotGameScores[[#This Row],[Highest Robot Game Score]],RobotGameScores[Highest Robot Game Score],0),NumberOfTeams),NumberOfTeams+1)</f>
        <v>1</v>
      </c>
      <c r="B154" s="12">
        <f>_xlfn.XLOOKUP(153,OfficialTeamList[Row],OfficialTeamList[Team Number],"ERROR",0)</f>
        <v>0</v>
      </c>
      <c r="C154" s="42" t="str">
        <f>_xlfn.XLOOKUP(RobotDesignResults[[#This Row],[Team Number]],OfficialTeamList[Team Number],OfficialTeamList[Team Name],"",0,)</f>
        <v/>
      </c>
      <c r="G154" s="12"/>
      <c r="H154" s="12"/>
      <c r="I154" s="88">
        <f>IF(RobotGameScores[[#This Row],[Team Number]]&gt;0,MAX(RobotGameScores[[#This Row],[Robot Game 1 Score]:[Robot Game 5 Score]]),0)</f>
        <v>0</v>
      </c>
    </row>
    <row r="155" spans="1:9" ht="30" customHeight="1" x14ac:dyDescent="0.5">
      <c r="A155">
        <f>IF(RobotGameScores[[#This Row],[Team Number]]&gt;0,MIN(_xlfn.RANK.EQ(RobotGameScores[[#This Row],[Highest Robot Game Score]],RobotGameScores[Highest Robot Game Score],0),NumberOfTeams),NumberOfTeams+1)</f>
        <v>1</v>
      </c>
      <c r="B155" s="12">
        <f>_xlfn.XLOOKUP(154,OfficialTeamList[Row],OfficialTeamList[Team Number],"ERROR",0)</f>
        <v>0</v>
      </c>
      <c r="C155" s="42" t="str">
        <f>_xlfn.XLOOKUP(RobotDesignResults[[#This Row],[Team Number]],OfficialTeamList[Team Number],OfficialTeamList[Team Name],"",0,)</f>
        <v/>
      </c>
      <c r="G155" s="12"/>
      <c r="H155" s="12"/>
      <c r="I155" s="88">
        <f>IF(RobotGameScores[[#This Row],[Team Number]]&gt;0,MAX(RobotGameScores[[#This Row],[Robot Game 1 Score]:[Robot Game 5 Score]]),0)</f>
        <v>0</v>
      </c>
    </row>
    <row r="156" spans="1:9" ht="30" customHeight="1" x14ac:dyDescent="0.5">
      <c r="A156">
        <f>IF(RobotGameScores[[#This Row],[Team Number]]&gt;0,MIN(_xlfn.RANK.EQ(RobotGameScores[[#This Row],[Highest Robot Game Score]],RobotGameScores[Highest Robot Game Score],0),NumberOfTeams),NumberOfTeams+1)</f>
        <v>1</v>
      </c>
      <c r="B156" s="12">
        <f>_xlfn.XLOOKUP(155,OfficialTeamList[Row],OfficialTeamList[Team Number],"ERROR",0)</f>
        <v>0</v>
      </c>
      <c r="C156" s="42" t="str">
        <f>_xlfn.XLOOKUP(RobotDesignResults[[#This Row],[Team Number]],OfficialTeamList[Team Number],OfficialTeamList[Team Name],"",0,)</f>
        <v/>
      </c>
      <c r="G156" s="12"/>
      <c r="H156" s="12"/>
      <c r="I156" s="88">
        <f>IF(RobotGameScores[[#This Row],[Team Number]]&gt;0,MAX(RobotGameScores[[#This Row],[Robot Game 1 Score]:[Robot Game 5 Score]]),0)</f>
        <v>0</v>
      </c>
    </row>
    <row r="157" spans="1:9" ht="30" customHeight="1" x14ac:dyDescent="0.5">
      <c r="A157">
        <f>IF(RobotGameScores[[#This Row],[Team Number]]&gt;0,MIN(_xlfn.RANK.EQ(RobotGameScores[[#This Row],[Highest Robot Game Score]],RobotGameScores[Highest Robot Game Score],0),NumberOfTeams),NumberOfTeams+1)</f>
        <v>1</v>
      </c>
      <c r="B157" s="12">
        <f>_xlfn.XLOOKUP(156,OfficialTeamList[Row],OfficialTeamList[Team Number],"ERROR",0)</f>
        <v>0</v>
      </c>
      <c r="C157" s="42" t="str">
        <f>_xlfn.XLOOKUP(RobotDesignResults[[#This Row],[Team Number]],OfficialTeamList[Team Number],OfficialTeamList[Team Name],"",0,)</f>
        <v/>
      </c>
      <c r="G157" s="12"/>
      <c r="H157" s="12"/>
      <c r="I157" s="88">
        <f>IF(RobotGameScores[[#This Row],[Team Number]]&gt;0,MAX(RobotGameScores[[#This Row],[Robot Game 1 Score]:[Robot Game 5 Score]]),0)</f>
        <v>0</v>
      </c>
    </row>
    <row r="158" spans="1:9" ht="30" customHeight="1" x14ac:dyDescent="0.5">
      <c r="A158">
        <f>IF(RobotGameScores[[#This Row],[Team Number]]&gt;0,MIN(_xlfn.RANK.EQ(RobotGameScores[[#This Row],[Highest Robot Game Score]],RobotGameScores[Highest Robot Game Score],0),NumberOfTeams),NumberOfTeams+1)</f>
        <v>1</v>
      </c>
      <c r="B158" s="12">
        <f>_xlfn.XLOOKUP(157,OfficialTeamList[Row],OfficialTeamList[Team Number],"ERROR",0)</f>
        <v>0</v>
      </c>
      <c r="C158" s="42" t="str">
        <f>_xlfn.XLOOKUP(RobotDesignResults[[#This Row],[Team Number]],OfficialTeamList[Team Number],OfficialTeamList[Team Name],"",0,)</f>
        <v/>
      </c>
      <c r="G158" s="12"/>
      <c r="H158" s="12"/>
      <c r="I158" s="88">
        <f>IF(RobotGameScores[[#This Row],[Team Number]]&gt;0,MAX(RobotGameScores[[#This Row],[Robot Game 1 Score]:[Robot Game 5 Score]]),0)</f>
        <v>0</v>
      </c>
    </row>
    <row r="159" spans="1:9" ht="30" customHeight="1" x14ac:dyDescent="0.5">
      <c r="A159">
        <f>IF(RobotGameScores[[#This Row],[Team Number]]&gt;0,MIN(_xlfn.RANK.EQ(RobotGameScores[[#This Row],[Highest Robot Game Score]],RobotGameScores[Highest Robot Game Score],0),NumberOfTeams),NumberOfTeams+1)</f>
        <v>1</v>
      </c>
      <c r="B159" s="12">
        <f>_xlfn.XLOOKUP(158,OfficialTeamList[Row],OfficialTeamList[Team Number],"ERROR",0)</f>
        <v>0</v>
      </c>
      <c r="C159" s="42" t="str">
        <f>_xlfn.XLOOKUP(RobotDesignResults[[#This Row],[Team Number]],OfficialTeamList[Team Number],OfficialTeamList[Team Name],"",0,)</f>
        <v/>
      </c>
      <c r="G159" s="12"/>
      <c r="H159" s="12"/>
      <c r="I159" s="88">
        <f>IF(RobotGameScores[[#This Row],[Team Number]]&gt;0,MAX(RobotGameScores[[#This Row],[Robot Game 1 Score]:[Robot Game 5 Score]]),0)</f>
        <v>0</v>
      </c>
    </row>
    <row r="160" spans="1:9" ht="30" customHeight="1" x14ac:dyDescent="0.5">
      <c r="A160">
        <f>IF(RobotGameScores[[#This Row],[Team Number]]&gt;0,MIN(_xlfn.RANK.EQ(RobotGameScores[[#This Row],[Highest Robot Game Score]],RobotGameScores[Highest Robot Game Score],0),NumberOfTeams),NumberOfTeams+1)</f>
        <v>1</v>
      </c>
      <c r="B160" s="12">
        <f>_xlfn.XLOOKUP(159,OfficialTeamList[Row],OfficialTeamList[Team Number],"ERROR",0)</f>
        <v>0</v>
      </c>
      <c r="C160" s="42" t="str">
        <f>_xlfn.XLOOKUP(RobotDesignResults[[#This Row],[Team Number]],OfficialTeamList[Team Number],OfficialTeamList[Team Name],"",0,)</f>
        <v/>
      </c>
      <c r="G160" s="12"/>
      <c r="H160" s="12"/>
      <c r="I160" s="88">
        <f>IF(RobotGameScores[[#This Row],[Team Number]]&gt;0,MAX(RobotGameScores[[#This Row],[Robot Game 1 Score]:[Robot Game 5 Score]]),0)</f>
        <v>0</v>
      </c>
    </row>
    <row r="161" spans="1:9" ht="30" customHeight="1" x14ac:dyDescent="0.5">
      <c r="A161">
        <f>IF(RobotGameScores[[#This Row],[Team Number]]&gt;0,MIN(_xlfn.RANK.EQ(RobotGameScores[[#This Row],[Highest Robot Game Score]],RobotGameScores[Highest Robot Game Score],0),NumberOfTeams),NumberOfTeams+1)</f>
        <v>1</v>
      </c>
      <c r="B161" s="12">
        <f>_xlfn.XLOOKUP(160,OfficialTeamList[Row],OfficialTeamList[Team Number],"ERROR",0)</f>
        <v>0</v>
      </c>
      <c r="C161" s="42" t="str">
        <f>_xlfn.XLOOKUP(RobotDesignResults[[#This Row],[Team Number]],OfficialTeamList[Team Number],OfficialTeamList[Team Name],"",0,)</f>
        <v/>
      </c>
      <c r="G161" s="12"/>
      <c r="H161" s="12"/>
      <c r="I161" s="88">
        <f>IF(RobotGameScores[[#This Row],[Team Number]]&gt;0,MAX(RobotGameScores[[#This Row],[Robot Game 1 Score]:[Robot Game 5 Score]]),0)</f>
        <v>0</v>
      </c>
    </row>
    <row r="162" spans="1:9" ht="30" customHeight="1" x14ac:dyDescent="0.5">
      <c r="A162">
        <f>IF(RobotGameScores[[#This Row],[Team Number]]&gt;0,MIN(_xlfn.RANK.EQ(RobotGameScores[[#This Row],[Highest Robot Game Score]],RobotGameScores[Highest Robot Game Score],0),NumberOfTeams),NumberOfTeams+1)</f>
        <v>1</v>
      </c>
      <c r="B162" s="12">
        <f>_xlfn.XLOOKUP(161,OfficialTeamList[Row],OfficialTeamList[Team Number],"ERROR",0)</f>
        <v>0</v>
      </c>
      <c r="C162" s="42" t="str">
        <f>_xlfn.XLOOKUP(RobotDesignResults[[#This Row],[Team Number]],OfficialTeamList[Team Number],OfficialTeamList[Team Name],"",0,)</f>
        <v/>
      </c>
      <c r="G162" s="12"/>
      <c r="H162" s="12"/>
      <c r="I162" s="88">
        <f>IF(RobotGameScores[[#This Row],[Team Number]]&gt;0,MAX(RobotGameScores[[#This Row],[Robot Game 1 Score]:[Robot Game 5 Score]]),0)</f>
        <v>0</v>
      </c>
    </row>
    <row r="163" spans="1:9" ht="30" customHeight="1" x14ac:dyDescent="0.5">
      <c r="A163">
        <f>IF(RobotGameScores[[#This Row],[Team Number]]&gt;0,MIN(_xlfn.RANK.EQ(RobotGameScores[[#This Row],[Highest Robot Game Score]],RobotGameScores[Highest Robot Game Score],0),NumberOfTeams),NumberOfTeams+1)</f>
        <v>1</v>
      </c>
      <c r="B163" s="12">
        <f>_xlfn.XLOOKUP(162,OfficialTeamList[Row],OfficialTeamList[Team Number],"ERROR",0)</f>
        <v>0</v>
      </c>
      <c r="C163" s="42" t="str">
        <f>_xlfn.XLOOKUP(RobotDesignResults[[#This Row],[Team Number]],OfficialTeamList[Team Number],OfficialTeamList[Team Name],"",0,)</f>
        <v/>
      </c>
      <c r="G163" s="12"/>
      <c r="H163" s="12"/>
      <c r="I163" s="88">
        <f>IF(RobotGameScores[[#This Row],[Team Number]]&gt;0,MAX(RobotGameScores[[#This Row],[Robot Game 1 Score]:[Robot Game 5 Score]]),0)</f>
        <v>0</v>
      </c>
    </row>
    <row r="164" spans="1:9" ht="30" customHeight="1" x14ac:dyDescent="0.5">
      <c r="A164">
        <f>IF(RobotGameScores[[#This Row],[Team Number]]&gt;0,MIN(_xlfn.RANK.EQ(RobotGameScores[[#This Row],[Highest Robot Game Score]],RobotGameScores[Highest Robot Game Score],0),NumberOfTeams),NumberOfTeams+1)</f>
        <v>1</v>
      </c>
      <c r="B164" s="12">
        <f>_xlfn.XLOOKUP(163,OfficialTeamList[Row],OfficialTeamList[Team Number],"ERROR",0)</f>
        <v>0</v>
      </c>
      <c r="C164" s="42" t="str">
        <f>_xlfn.XLOOKUP(RobotDesignResults[[#This Row],[Team Number]],OfficialTeamList[Team Number],OfficialTeamList[Team Name],"",0,)</f>
        <v/>
      </c>
      <c r="G164" s="12"/>
      <c r="H164" s="12"/>
      <c r="I164" s="88">
        <f>IF(RobotGameScores[[#This Row],[Team Number]]&gt;0,MAX(RobotGameScores[[#This Row],[Robot Game 1 Score]:[Robot Game 5 Score]]),0)</f>
        <v>0</v>
      </c>
    </row>
    <row r="165" spans="1:9" ht="30" customHeight="1" x14ac:dyDescent="0.5">
      <c r="A165">
        <f>IF(RobotGameScores[[#This Row],[Team Number]]&gt;0,MIN(_xlfn.RANK.EQ(RobotGameScores[[#This Row],[Highest Robot Game Score]],RobotGameScores[Highest Robot Game Score],0),NumberOfTeams),NumberOfTeams+1)</f>
        <v>1</v>
      </c>
      <c r="B165" s="12">
        <f>_xlfn.XLOOKUP(164,OfficialTeamList[Row],OfficialTeamList[Team Number],"ERROR",0)</f>
        <v>0</v>
      </c>
      <c r="C165" s="42" t="str">
        <f>_xlfn.XLOOKUP(RobotDesignResults[[#This Row],[Team Number]],OfficialTeamList[Team Number],OfficialTeamList[Team Name],"",0,)</f>
        <v/>
      </c>
      <c r="G165" s="12"/>
      <c r="H165" s="12"/>
      <c r="I165" s="88">
        <f>IF(RobotGameScores[[#This Row],[Team Number]]&gt;0,MAX(RobotGameScores[[#This Row],[Robot Game 1 Score]:[Robot Game 5 Score]]),0)</f>
        <v>0</v>
      </c>
    </row>
    <row r="166" spans="1:9" ht="30" customHeight="1" x14ac:dyDescent="0.5">
      <c r="A166">
        <f>IF(RobotGameScores[[#This Row],[Team Number]]&gt;0,MIN(_xlfn.RANK.EQ(RobotGameScores[[#This Row],[Highest Robot Game Score]],RobotGameScores[Highest Robot Game Score],0),NumberOfTeams),NumberOfTeams+1)</f>
        <v>1</v>
      </c>
      <c r="B166" s="12">
        <f>_xlfn.XLOOKUP(165,OfficialTeamList[Row],OfficialTeamList[Team Number],"ERROR",0)</f>
        <v>0</v>
      </c>
      <c r="C166" s="42" t="str">
        <f>_xlfn.XLOOKUP(RobotDesignResults[[#This Row],[Team Number]],OfficialTeamList[Team Number],OfficialTeamList[Team Name],"",0,)</f>
        <v/>
      </c>
      <c r="G166" s="12"/>
      <c r="H166" s="12"/>
      <c r="I166" s="88">
        <f>IF(RobotGameScores[[#This Row],[Team Number]]&gt;0,MAX(RobotGameScores[[#This Row],[Robot Game 1 Score]:[Robot Game 5 Score]]),0)</f>
        <v>0</v>
      </c>
    </row>
    <row r="167" spans="1:9" ht="30" customHeight="1" x14ac:dyDescent="0.5">
      <c r="A167">
        <f>IF(RobotGameScores[[#This Row],[Team Number]]&gt;0,MIN(_xlfn.RANK.EQ(RobotGameScores[[#This Row],[Highest Robot Game Score]],RobotGameScores[Highest Robot Game Score],0),NumberOfTeams),NumberOfTeams+1)</f>
        <v>1</v>
      </c>
      <c r="B167" s="12">
        <f>_xlfn.XLOOKUP(166,OfficialTeamList[Row],OfficialTeamList[Team Number],"ERROR",0)</f>
        <v>0</v>
      </c>
      <c r="C167" s="42" t="str">
        <f>_xlfn.XLOOKUP(RobotDesignResults[[#This Row],[Team Number]],OfficialTeamList[Team Number],OfficialTeamList[Team Name],"",0,)</f>
        <v/>
      </c>
      <c r="G167" s="12"/>
      <c r="H167" s="12"/>
      <c r="I167" s="88">
        <f>IF(RobotGameScores[[#This Row],[Team Number]]&gt;0,MAX(RobotGameScores[[#This Row],[Robot Game 1 Score]:[Robot Game 5 Score]]),0)</f>
        <v>0</v>
      </c>
    </row>
    <row r="168" spans="1:9" ht="30" customHeight="1" x14ac:dyDescent="0.5">
      <c r="A168">
        <f>IF(RobotGameScores[[#This Row],[Team Number]]&gt;0,MIN(_xlfn.RANK.EQ(RobotGameScores[[#This Row],[Highest Robot Game Score]],RobotGameScores[Highest Robot Game Score],0),NumberOfTeams),NumberOfTeams+1)</f>
        <v>1</v>
      </c>
      <c r="B168" s="12">
        <f>_xlfn.XLOOKUP(167,OfficialTeamList[Row],OfficialTeamList[Team Number],"ERROR",0)</f>
        <v>0</v>
      </c>
      <c r="C168" s="42" t="str">
        <f>_xlfn.XLOOKUP(RobotDesignResults[[#This Row],[Team Number]],OfficialTeamList[Team Number],OfficialTeamList[Team Name],"",0,)</f>
        <v/>
      </c>
      <c r="G168" s="12"/>
      <c r="H168" s="12"/>
      <c r="I168" s="88">
        <f>IF(RobotGameScores[[#This Row],[Team Number]]&gt;0,MAX(RobotGameScores[[#This Row],[Robot Game 1 Score]:[Robot Game 5 Score]]),0)</f>
        <v>0</v>
      </c>
    </row>
    <row r="169" spans="1:9" ht="30" customHeight="1" x14ac:dyDescent="0.5">
      <c r="A169">
        <f>IF(RobotGameScores[[#This Row],[Team Number]]&gt;0,MIN(_xlfn.RANK.EQ(RobotGameScores[[#This Row],[Highest Robot Game Score]],RobotGameScores[Highest Robot Game Score],0),NumberOfTeams),NumberOfTeams+1)</f>
        <v>1</v>
      </c>
      <c r="B169" s="12">
        <f>_xlfn.XLOOKUP(168,OfficialTeamList[Row],OfficialTeamList[Team Number],"ERROR",0)</f>
        <v>0</v>
      </c>
      <c r="C169" s="42" t="str">
        <f>_xlfn.XLOOKUP(RobotDesignResults[[#This Row],[Team Number]],OfficialTeamList[Team Number],OfficialTeamList[Team Name],"",0,)</f>
        <v/>
      </c>
      <c r="G169" s="12"/>
      <c r="H169" s="12"/>
      <c r="I169" s="88">
        <f>IF(RobotGameScores[[#This Row],[Team Number]]&gt;0,MAX(RobotGameScores[[#This Row],[Robot Game 1 Score]:[Robot Game 5 Score]]),0)</f>
        <v>0</v>
      </c>
    </row>
    <row r="170" spans="1:9" ht="30" customHeight="1" x14ac:dyDescent="0.5">
      <c r="A170">
        <f>IF(RobotGameScores[[#This Row],[Team Number]]&gt;0,MIN(_xlfn.RANK.EQ(RobotGameScores[[#This Row],[Highest Robot Game Score]],RobotGameScores[Highest Robot Game Score],0),NumberOfTeams),NumberOfTeams+1)</f>
        <v>1</v>
      </c>
      <c r="B170" s="12">
        <f>_xlfn.XLOOKUP(169,OfficialTeamList[Row],OfficialTeamList[Team Number],"ERROR",0)</f>
        <v>0</v>
      </c>
      <c r="C170" s="42" t="str">
        <f>_xlfn.XLOOKUP(RobotDesignResults[[#This Row],[Team Number]],OfficialTeamList[Team Number],OfficialTeamList[Team Name],"",0,)</f>
        <v/>
      </c>
      <c r="G170" s="12"/>
      <c r="H170" s="12"/>
      <c r="I170" s="88">
        <f>IF(RobotGameScores[[#This Row],[Team Number]]&gt;0,MAX(RobotGameScores[[#This Row],[Robot Game 1 Score]:[Robot Game 5 Score]]),0)</f>
        <v>0</v>
      </c>
    </row>
    <row r="171" spans="1:9" ht="30" customHeight="1" x14ac:dyDescent="0.5">
      <c r="A171">
        <f>IF(RobotGameScores[[#This Row],[Team Number]]&gt;0,MIN(_xlfn.RANK.EQ(RobotGameScores[[#This Row],[Highest Robot Game Score]],RobotGameScores[Highest Robot Game Score],0),NumberOfTeams),NumberOfTeams+1)</f>
        <v>1</v>
      </c>
      <c r="B171" s="12">
        <f>_xlfn.XLOOKUP(170,OfficialTeamList[Row],OfficialTeamList[Team Number],"ERROR",0)</f>
        <v>0</v>
      </c>
      <c r="C171" s="42" t="str">
        <f>_xlfn.XLOOKUP(RobotDesignResults[[#This Row],[Team Number]],OfficialTeamList[Team Number],OfficialTeamList[Team Name],"",0,)</f>
        <v/>
      </c>
      <c r="G171" s="12"/>
      <c r="H171" s="12"/>
      <c r="I171" s="88">
        <f>IF(RobotGameScores[[#This Row],[Team Number]]&gt;0,MAX(RobotGameScores[[#This Row],[Robot Game 1 Score]:[Robot Game 5 Score]]),0)</f>
        <v>0</v>
      </c>
    </row>
    <row r="172" spans="1:9" ht="30" customHeight="1" x14ac:dyDescent="0.5">
      <c r="A172">
        <f>IF(RobotGameScores[[#This Row],[Team Number]]&gt;0,MIN(_xlfn.RANK.EQ(RobotGameScores[[#This Row],[Highest Robot Game Score]],RobotGameScores[Highest Robot Game Score],0),NumberOfTeams),NumberOfTeams+1)</f>
        <v>1</v>
      </c>
      <c r="B172" s="12">
        <f>_xlfn.XLOOKUP(171,OfficialTeamList[Row],OfficialTeamList[Team Number],"ERROR",0)</f>
        <v>0</v>
      </c>
      <c r="C172" s="42" t="str">
        <f>_xlfn.XLOOKUP(RobotDesignResults[[#This Row],[Team Number]],OfficialTeamList[Team Number],OfficialTeamList[Team Name],"",0,)</f>
        <v/>
      </c>
      <c r="G172" s="12"/>
      <c r="H172" s="12"/>
      <c r="I172" s="88">
        <f>IF(RobotGameScores[[#This Row],[Team Number]]&gt;0,MAX(RobotGameScores[[#This Row],[Robot Game 1 Score]:[Robot Game 5 Score]]),0)</f>
        <v>0</v>
      </c>
    </row>
    <row r="173" spans="1:9" ht="30" customHeight="1" x14ac:dyDescent="0.5">
      <c r="A173">
        <f>IF(RobotGameScores[[#This Row],[Team Number]]&gt;0,MIN(_xlfn.RANK.EQ(RobotGameScores[[#This Row],[Highest Robot Game Score]],RobotGameScores[Highest Robot Game Score],0),NumberOfTeams),NumberOfTeams+1)</f>
        <v>1</v>
      </c>
      <c r="B173" s="12">
        <f>_xlfn.XLOOKUP(172,OfficialTeamList[Row],OfficialTeamList[Team Number],"ERROR",0)</f>
        <v>0</v>
      </c>
      <c r="C173" s="42" t="str">
        <f>_xlfn.XLOOKUP(RobotDesignResults[[#This Row],[Team Number]],OfficialTeamList[Team Number],OfficialTeamList[Team Name],"",0,)</f>
        <v/>
      </c>
      <c r="G173" s="12"/>
      <c r="H173" s="12"/>
      <c r="I173" s="88">
        <f>IF(RobotGameScores[[#This Row],[Team Number]]&gt;0,MAX(RobotGameScores[[#This Row],[Robot Game 1 Score]:[Robot Game 5 Score]]),0)</f>
        <v>0</v>
      </c>
    </row>
    <row r="174" spans="1:9" ht="30" customHeight="1" x14ac:dyDescent="0.5">
      <c r="A174">
        <f>IF(RobotGameScores[[#This Row],[Team Number]]&gt;0,MIN(_xlfn.RANK.EQ(RobotGameScores[[#This Row],[Highest Robot Game Score]],RobotGameScores[Highest Robot Game Score],0),NumberOfTeams),NumberOfTeams+1)</f>
        <v>1</v>
      </c>
      <c r="B174" s="12">
        <f>_xlfn.XLOOKUP(173,OfficialTeamList[Row],OfficialTeamList[Team Number],"ERROR",0)</f>
        <v>0</v>
      </c>
      <c r="C174" s="42" t="str">
        <f>_xlfn.XLOOKUP(RobotDesignResults[[#This Row],[Team Number]],OfficialTeamList[Team Number],OfficialTeamList[Team Name],"",0,)</f>
        <v/>
      </c>
      <c r="G174" s="12"/>
      <c r="H174" s="12"/>
      <c r="I174" s="88">
        <f>IF(RobotGameScores[[#This Row],[Team Number]]&gt;0,MAX(RobotGameScores[[#This Row],[Robot Game 1 Score]:[Robot Game 5 Score]]),0)</f>
        <v>0</v>
      </c>
    </row>
    <row r="175" spans="1:9" ht="30" customHeight="1" x14ac:dyDescent="0.5">
      <c r="A175">
        <f>IF(RobotGameScores[[#This Row],[Team Number]]&gt;0,MIN(_xlfn.RANK.EQ(RobotGameScores[[#This Row],[Highest Robot Game Score]],RobotGameScores[Highest Robot Game Score],0),NumberOfTeams),NumberOfTeams+1)</f>
        <v>1</v>
      </c>
      <c r="B175" s="12">
        <f>_xlfn.XLOOKUP(174,OfficialTeamList[Row],OfficialTeamList[Team Number],"ERROR",0)</f>
        <v>0</v>
      </c>
      <c r="C175" s="42" t="str">
        <f>_xlfn.XLOOKUP(RobotDesignResults[[#This Row],[Team Number]],OfficialTeamList[Team Number],OfficialTeamList[Team Name],"",0,)</f>
        <v/>
      </c>
      <c r="G175" s="12"/>
      <c r="H175" s="12"/>
      <c r="I175" s="88">
        <f>IF(RobotGameScores[[#This Row],[Team Number]]&gt;0,MAX(RobotGameScores[[#This Row],[Robot Game 1 Score]:[Robot Game 5 Score]]),0)</f>
        <v>0</v>
      </c>
    </row>
    <row r="176" spans="1:9" ht="30" customHeight="1" x14ac:dyDescent="0.5">
      <c r="A176">
        <f>IF(RobotGameScores[[#This Row],[Team Number]]&gt;0,MIN(_xlfn.RANK.EQ(RobotGameScores[[#This Row],[Highest Robot Game Score]],RobotGameScores[Highest Robot Game Score],0),NumberOfTeams),NumberOfTeams+1)</f>
        <v>1</v>
      </c>
      <c r="B176" s="12">
        <f>_xlfn.XLOOKUP(175,OfficialTeamList[Row],OfficialTeamList[Team Number],"ERROR",0)</f>
        <v>0</v>
      </c>
      <c r="C176" s="42" t="str">
        <f>_xlfn.XLOOKUP(RobotDesignResults[[#This Row],[Team Number]],OfficialTeamList[Team Number],OfficialTeamList[Team Name],"",0,)</f>
        <v/>
      </c>
      <c r="G176" s="12"/>
      <c r="H176" s="12"/>
      <c r="I176" s="88">
        <f>IF(RobotGameScores[[#This Row],[Team Number]]&gt;0,MAX(RobotGameScores[[#This Row],[Robot Game 1 Score]:[Robot Game 5 Score]]),0)</f>
        <v>0</v>
      </c>
    </row>
    <row r="177" spans="1:9" ht="30" customHeight="1" x14ac:dyDescent="0.5">
      <c r="A177">
        <f>IF(RobotGameScores[[#This Row],[Team Number]]&gt;0,MIN(_xlfn.RANK.EQ(RobotGameScores[[#This Row],[Highest Robot Game Score]],RobotGameScores[Highest Robot Game Score],0),NumberOfTeams),NumberOfTeams+1)</f>
        <v>1</v>
      </c>
      <c r="B177" s="12">
        <f>_xlfn.XLOOKUP(176,OfficialTeamList[Row],OfficialTeamList[Team Number],"ERROR",0)</f>
        <v>0</v>
      </c>
      <c r="C177" s="42" t="str">
        <f>_xlfn.XLOOKUP(RobotDesignResults[[#This Row],[Team Number]],OfficialTeamList[Team Number],OfficialTeamList[Team Name],"",0,)</f>
        <v/>
      </c>
      <c r="G177" s="12"/>
      <c r="H177" s="12"/>
      <c r="I177" s="88">
        <f>IF(RobotGameScores[[#This Row],[Team Number]]&gt;0,MAX(RobotGameScores[[#This Row],[Robot Game 1 Score]:[Robot Game 5 Score]]),0)</f>
        <v>0</v>
      </c>
    </row>
    <row r="178" spans="1:9" ht="30" customHeight="1" x14ac:dyDescent="0.5">
      <c r="A178">
        <f>IF(RobotGameScores[[#This Row],[Team Number]]&gt;0,MIN(_xlfn.RANK.EQ(RobotGameScores[[#This Row],[Highest Robot Game Score]],RobotGameScores[Highest Robot Game Score],0),NumberOfTeams),NumberOfTeams+1)</f>
        <v>1</v>
      </c>
      <c r="B178" s="12">
        <f>_xlfn.XLOOKUP(177,OfficialTeamList[Row],OfficialTeamList[Team Number],"ERROR",0)</f>
        <v>0</v>
      </c>
      <c r="C178" s="42" t="str">
        <f>_xlfn.XLOOKUP(RobotDesignResults[[#This Row],[Team Number]],OfficialTeamList[Team Number],OfficialTeamList[Team Name],"",0,)</f>
        <v/>
      </c>
      <c r="G178" s="12"/>
      <c r="H178" s="12"/>
      <c r="I178" s="88">
        <f>IF(RobotGameScores[[#This Row],[Team Number]]&gt;0,MAX(RobotGameScores[[#This Row],[Robot Game 1 Score]:[Robot Game 5 Score]]),0)</f>
        <v>0</v>
      </c>
    </row>
    <row r="179" spans="1:9" ht="30" customHeight="1" x14ac:dyDescent="0.5">
      <c r="A179">
        <f>IF(RobotGameScores[[#This Row],[Team Number]]&gt;0,MIN(_xlfn.RANK.EQ(RobotGameScores[[#This Row],[Highest Robot Game Score]],RobotGameScores[Highest Robot Game Score],0),NumberOfTeams),NumberOfTeams+1)</f>
        <v>1</v>
      </c>
      <c r="B179" s="12">
        <f>_xlfn.XLOOKUP(178,OfficialTeamList[Row],OfficialTeamList[Team Number],"ERROR",0)</f>
        <v>0</v>
      </c>
      <c r="C179" s="42" t="str">
        <f>_xlfn.XLOOKUP(RobotDesignResults[[#This Row],[Team Number]],OfficialTeamList[Team Number],OfficialTeamList[Team Name],"",0,)</f>
        <v/>
      </c>
      <c r="G179" s="12"/>
      <c r="H179" s="12"/>
      <c r="I179" s="88">
        <f>IF(RobotGameScores[[#This Row],[Team Number]]&gt;0,MAX(RobotGameScores[[#This Row],[Robot Game 1 Score]:[Robot Game 5 Score]]),0)</f>
        <v>0</v>
      </c>
    </row>
    <row r="180" spans="1:9" ht="30" customHeight="1" x14ac:dyDescent="0.5">
      <c r="A180">
        <f>IF(RobotGameScores[[#This Row],[Team Number]]&gt;0,MIN(_xlfn.RANK.EQ(RobotGameScores[[#This Row],[Highest Robot Game Score]],RobotGameScores[Highest Robot Game Score],0),NumberOfTeams),NumberOfTeams+1)</f>
        <v>1</v>
      </c>
      <c r="B180" s="12">
        <f>_xlfn.XLOOKUP(179,OfficialTeamList[Row],OfficialTeamList[Team Number],"ERROR",0)</f>
        <v>0</v>
      </c>
      <c r="C180" s="42" t="str">
        <f>_xlfn.XLOOKUP(RobotDesignResults[[#This Row],[Team Number]],OfficialTeamList[Team Number],OfficialTeamList[Team Name],"",0,)</f>
        <v/>
      </c>
      <c r="G180" s="12"/>
      <c r="H180" s="12"/>
      <c r="I180" s="88">
        <f>IF(RobotGameScores[[#This Row],[Team Number]]&gt;0,MAX(RobotGameScores[[#This Row],[Robot Game 1 Score]:[Robot Game 5 Score]]),0)</f>
        <v>0</v>
      </c>
    </row>
    <row r="181" spans="1:9" ht="30" customHeight="1" x14ac:dyDescent="0.5">
      <c r="A181">
        <f>IF(RobotGameScores[[#This Row],[Team Number]]&gt;0,MIN(_xlfn.RANK.EQ(RobotGameScores[[#This Row],[Highest Robot Game Score]],RobotGameScores[Highest Robot Game Score],0),NumberOfTeams),NumberOfTeams+1)</f>
        <v>1</v>
      </c>
      <c r="B181" s="12">
        <f>_xlfn.XLOOKUP(180,OfficialTeamList[Row],OfficialTeamList[Team Number],"ERROR",0)</f>
        <v>0</v>
      </c>
      <c r="C181" s="42" t="str">
        <f>_xlfn.XLOOKUP(RobotDesignResults[[#This Row],[Team Number]],OfficialTeamList[Team Number],OfficialTeamList[Team Name],"",0,)</f>
        <v/>
      </c>
      <c r="G181" s="12"/>
      <c r="H181" s="12"/>
      <c r="I181" s="88">
        <f>IF(RobotGameScores[[#This Row],[Team Number]]&gt;0,MAX(RobotGameScores[[#This Row],[Robot Game 1 Score]:[Robot Game 5 Score]]),0)</f>
        <v>0</v>
      </c>
    </row>
    <row r="182" spans="1:9" ht="30" customHeight="1" x14ac:dyDescent="0.5">
      <c r="A182">
        <f>IF(RobotGameScores[[#This Row],[Team Number]]&gt;0,MIN(_xlfn.RANK.EQ(RobotGameScores[[#This Row],[Highest Robot Game Score]],RobotGameScores[Highest Robot Game Score],0),NumberOfTeams),NumberOfTeams+1)</f>
        <v>1</v>
      </c>
      <c r="B182" s="12">
        <f>_xlfn.XLOOKUP(181,OfficialTeamList[Row],OfficialTeamList[Team Number],"ERROR",0)</f>
        <v>0</v>
      </c>
      <c r="C182" s="42" t="str">
        <f>_xlfn.XLOOKUP(RobotDesignResults[[#This Row],[Team Number]],OfficialTeamList[Team Number],OfficialTeamList[Team Name],"",0,)</f>
        <v/>
      </c>
      <c r="G182" s="12"/>
      <c r="H182" s="12"/>
      <c r="I182" s="88">
        <f>IF(RobotGameScores[[#This Row],[Team Number]]&gt;0,MAX(RobotGameScores[[#This Row],[Robot Game 1 Score]:[Robot Game 5 Score]]),0)</f>
        <v>0</v>
      </c>
    </row>
    <row r="183" spans="1:9" ht="30" customHeight="1" x14ac:dyDescent="0.5">
      <c r="A183">
        <f>IF(RobotGameScores[[#This Row],[Team Number]]&gt;0,MIN(_xlfn.RANK.EQ(RobotGameScores[[#This Row],[Highest Robot Game Score]],RobotGameScores[Highest Robot Game Score],0),NumberOfTeams),NumberOfTeams+1)</f>
        <v>1</v>
      </c>
      <c r="B183" s="12">
        <f>_xlfn.XLOOKUP(182,OfficialTeamList[Row],OfficialTeamList[Team Number],"ERROR",0)</f>
        <v>0</v>
      </c>
      <c r="C183" s="42" t="str">
        <f>_xlfn.XLOOKUP(RobotDesignResults[[#This Row],[Team Number]],OfficialTeamList[Team Number],OfficialTeamList[Team Name],"",0,)</f>
        <v/>
      </c>
      <c r="G183" s="12"/>
      <c r="H183" s="12"/>
      <c r="I183" s="88">
        <f>IF(RobotGameScores[[#This Row],[Team Number]]&gt;0,MAX(RobotGameScores[[#This Row],[Robot Game 1 Score]:[Robot Game 5 Score]]),0)</f>
        <v>0</v>
      </c>
    </row>
    <row r="184" spans="1:9" ht="30" customHeight="1" x14ac:dyDescent="0.5">
      <c r="A184">
        <f>IF(RobotGameScores[[#This Row],[Team Number]]&gt;0,MIN(_xlfn.RANK.EQ(RobotGameScores[[#This Row],[Highest Robot Game Score]],RobotGameScores[Highest Robot Game Score],0),NumberOfTeams),NumberOfTeams+1)</f>
        <v>1</v>
      </c>
      <c r="B184" s="12">
        <f>_xlfn.XLOOKUP(183,OfficialTeamList[Row],OfficialTeamList[Team Number],"ERROR",0)</f>
        <v>0</v>
      </c>
      <c r="C184" s="42" t="str">
        <f>_xlfn.XLOOKUP(RobotDesignResults[[#This Row],[Team Number]],OfficialTeamList[Team Number],OfficialTeamList[Team Name],"",0,)</f>
        <v/>
      </c>
      <c r="G184" s="12"/>
      <c r="H184" s="12"/>
      <c r="I184" s="88">
        <f>IF(RobotGameScores[[#This Row],[Team Number]]&gt;0,MAX(RobotGameScores[[#This Row],[Robot Game 1 Score]:[Robot Game 5 Score]]),0)</f>
        <v>0</v>
      </c>
    </row>
    <row r="185" spans="1:9" ht="30" customHeight="1" x14ac:dyDescent="0.5">
      <c r="A185">
        <f>IF(RobotGameScores[[#This Row],[Team Number]]&gt;0,MIN(_xlfn.RANK.EQ(RobotGameScores[[#This Row],[Highest Robot Game Score]],RobotGameScores[Highest Robot Game Score],0),NumberOfTeams),NumberOfTeams+1)</f>
        <v>1</v>
      </c>
      <c r="B185" s="12">
        <f>_xlfn.XLOOKUP(184,OfficialTeamList[Row],OfficialTeamList[Team Number],"ERROR",0)</f>
        <v>0</v>
      </c>
      <c r="C185" s="42" t="str">
        <f>_xlfn.XLOOKUP(RobotDesignResults[[#This Row],[Team Number]],OfficialTeamList[Team Number],OfficialTeamList[Team Name],"",0,)</f>
        <v/>
      </c>
      <c r="G185" s="12"/>
      <c r="H185" s="12"/>
      <c r="I185" s="88">
        <f>IF(RobotGameScores[[#This Row],[Team Number]]&gt;0,MAX(RobotGameScores[[#This Row],[Robot Game 1 Score]:[Robot Game 5 Score]]),0)</f>
        <v>0</v>
      </c>
    </row>
    <row r="186" spans="1:9" ht="30" customHeight="1" x14ac:dyDescent="0.5">
      <c r="A186">
        <f>IF(RobotGameScores[[#This Row],[Team Number]]&gt;0,MIN(_xlfn.RANK.EQ(RobotGameScores[[#This Row],[Highest Robot Game Score]],RobotGameScores[Highest Robot Game Score],0),NumberOfTeams),NumberOfTeams+1)</f>
        <v>1</v>
      </c>
      <c r="B186" s="12">
        <f>_xlfn.XLOOKUP(185,OfficialTeamList[Row],OfficialTeamList[Team Number],"ERROR",0)</f>
        <v>0</v>
      </c>
      <c r="C186" s="42" t="str">
        <f>_xlfn.XLOOKUP(RobotDesignResults[[#This Row],[Team Number]],OfficialTeamList[Team Number],OfficialTeamList[Team Name],"",0,)</f>
        <v/>
      </c>
      <c r="G186" s="12"/>
      <c r="H186" s="12"/>
      <c r="I186" s="88">
        <f>IF(RobotGameScores[[#This Row],[Team Number]]&gt;0,MAX(RobotGameScores[[#This Row],[Robot Game 1 Score]:[Robot Game 5 Score]]),0)</f>
        <v>0</v>
      </c>
    </row>
    <row r="187" spans="1:9" ht="30" customHeight="1" x14ac:dyDescent="0.5">
      <c r="A187">
        <f>IF(RobotGameScores[[#This Row],[Team Number]]&gt;0,MIN(_xlfn.RANK.EQ(RobotGameScores[[#This Row],[Highest Robot Game Score]],RobotGameScores[Highest Robot Game Score],0),NumberOfTeams),NumberOfTeams+1)</f>
        <v>1</v>
      </c>
      <c r="B187" s="12">
        <f>_xlfn.XLOOKUP(186,OfficialTeamList[Row],OfficialTeamList[Team Number],"ERROR",0)</f>
        <v>0</v>
      </c>
      <c r="C187" s="42" t="str">
        <f>_xlfn.XLOOKUP(RobotDesignResults[[#This Row],[Team Number]],OfficialTeamList[Team Number],OfficialTeamList[Team Name],"",0,)</f>
        <v/>
      </c>
      <c r="G187" s="12"/>
      <c r="H187" s="12"/>
      <c r="I187" s="88">
        <f>IF(RobotGameScores[[#This Row],[Team Number]]&gt;0,MAX(RobotGameScores[[#This Row],[Robot Game 1 Score]:[Robot Game 5 Score]]),0)</f>
        <v>0</v>
      </c>
    </row>
    <row r="188" spans="1:9" ht="30" customHeight="1" x14ac:dyDescent="0.5">
      <c r="A188">
        <f>IF(RobotGameScores[[#This Row],[Team Number]]&gt;0,MIN(_xlfn.RANK.EQ(RobotGameScores[[#This Row],[Highest Robot Game Score]],RobotGameScores[Highest Robot Game Score],0),NumberOfTeams),NumberOfTeams+1)</f>
        <v>1</v>
      </c>
      <c r="B188" s="12">
        <f>_xlfn.XLOOKUP(187,OfficialTeamList[Row],OfficialTeamList[Team Number],"ERROR",0)</f>
        <v>0</v>
      </c>
      <c r="C188" s="42" t="str">
        <f>_xlfn.XLOOKUP(RobotDesignResults[[#This Row],[Team Number]],OfficialTeamList[Team Number],OfficialTeamList[Team Name],"",0,)</f>
        <v/>
      </c>
      <c r="G188" s="12"/>
      <c r="H188" s="12"/>
      <c r="I188" s="88">
        <f>IF(RobotGameScores[[#This Row],[Team Number]]&gt;0,MAX(RobotGameScores[[#This Row],[Robot Game 1 Score]:[Robot Game 5 Score]]),0)</f>
        <v>0</v>
      </c>
    </row>
    <row r="189" spans="1:9" ht="30" customHeight="1" x14ac:dyDescent="0.5">
      <c r="A189">
        <f>IF(RobotGameScores[[#This Row],[Team Number]]&gt;0,MIN(_xlfn.RANK.EQ(RobotGameScores[[#This Row],[Highest Robot Game Score]],RobotGameScores[Highest Robot Game Score],0),NumberOfTeams),NumberOfTeams+1)</f>
        <v>1</v>
      </c>
      <c r="B189" s="12">
        <f>_xlfn.XLOOKUP(188,OfficialTeamList[Row],OfficialTeamList[Team Number],"ERROR",0)</f>
        <v>0</v>
      </c>
      <c r="C189" s="42" t="str">
        <f>_xlfn.XLOOKUP(RobotDesignResults[[#This Row],[Team Number]],OfficialTeamList[Team Number],OfficialTeamList[Team Name],"",0,)</f>
        <v/>
      </c>
      <c r="G189" s="12"/>
      <c r="H189" s="12"/>
      <c r="I189" s="88">
        <f>IF(RobotGameScores[[#This Row],[Team Number]]&gt;0,MAX(RobotGameScores[[#This Row],[Robot Game 1 Score]:[Robot Game 5 Score]]),0)</f>
        <v>0</v>
      </c>
    </row>
    <row r="190" spans="1:9" ht="30" customHeight="1" x14ac:dyDescent="0.5">
      <c r="A190">
        <f>IF(RobotGameScores[[#This Row],[Team Number]]&gt;0,MIN(_xlfn.RANK.EQ(RobotGameScores[[#This Row],[Highest Robot Game Score]],RobotGameScores[Highest Robot Game Score],0),NumberOfTeams),NumberOfTeams+1)</f>
        <v>1</v>
      </c>
      <c r="B190" s="12">
        <f>_xlfn.XLOOKUP(189,OfficialTeamList[Row],OfficialTeamList[Team Number],"ERROR",0)</f>
        <v>0</v>
      </c>
      <c r="C190" s="42" t="str">
        <f>_xlfn.XLOOKUP(RobotDesignResults[[#This Row],[Team Number]],OfficialTeamList[Team Number],OfficialTeamList[Team Name],"",0,)</f>
        <v/>
      </c>
      <c r="G190" s="12"/>
      <c r="H190" s="12"/>
      <c r="I190" s="88">
        <f>IF(RobotGameScores[[#This Row],[Team Number]]&gt;0,MAX(RobotGameScores[[#This Row],[Robot Game 1 Score]:[Robot Game 5 Score]]),0)</f>
        <v>0</v>
      </c>
    </row>
    <row r="191" spans="1:9" ht="30" customHeight="1" x14ac:dyDescent="0.5">
      <c r="A191">
        <f>IF(RobotGameScores[[#This Row],[Team Number]]&gt;0,MIN(_xlfn.RANK.EQ(RobotGameScores[[#This Row],[Highest Robot Game Score]],RobotGameScores[Highest Robot Game Score],0),NumberOfTeams),NumberOfTeams+1)</f>
        <v>1</v>
      </c>
      <c r="B191" s="12">
        <f>_xlfn.XLOOKUP(190,OfficialTeamList[Row],OfficialTeamList[Team Number],"ERROR",0)</f>
        <v>0</v>
      </c>
      <c r="C191" s="42" t="str">
        <f>_xlfn.XLOOKUP(RobotDesignResults[[#This Row],[Team Number]],OfficialTeamList[Team Number],OfficialTeamList[Team Name],"",0,)</f>
        <v/>
      </c>
      <c r="G191" s="12"/>
      <c r="H191" s="12"/>
      <c r="I191" s="88">
        <f>IF(RobotGameScores[[#This Row],[Team Number]]&gt;0,MAX(RobotGameScores[[#This Row],[Robot Game 1 Score]:[Robot Game 5 Score]]),0)</f>
        <v>0</v>
      </c>
    </row>
    <row r="192" spans="1:9" ht="30" customHeight="1" x14ac:dyDescent="0.5">
      <c r="A192">
        <f>IF(RobotGameScores[[#This Row],[Team Number]]&gt;0,MIN(_xlfn.RANK.EQ(RobotGameScores[[#This Row],[Highest Robot Game Score]],RobotGameScores[Highest Robot Game Score],0),NumberOfTeams),NumberOfTeams+1)</f>
        <v>1</v>
      </c>
      <c r="B192" s="12">
        <f>_xlfn.XLOOKUP(191,OfficialTeamList[Row],OfficialTeamList[Team Number],"ERROR",0)</f>
        <v>0</v>
      </c>
      <c r="C192" s="42" t="str">
        <f>_xlfn.XLOOKUP(RobotDesignResults[[#This Row],[Team Number]],OfficialTeamList[Team Number],OfficialTeamList[Team Name],"",0,)</f>
        <v/>
      </c>
      <c r="G192" s="12"/>
      <c r="H192" s="12"/>
      <c r="I192" s="88">
        <f>IF(RobotGameScores[[#This Row],[Team Number]]&gt;0,MAX(RobotGameScores[[#This Row],[Robot Game 1 Score]:[Robot Game 5 Score]]),0)</f>
        <v>0</v>
      </c>
    </row>
    <row r="193" spans="1:9" ht="30" customHeight="1" x14ac:dyDescent="0.5">
      <c r="A193">
        <f>IF(RobotGameScores[[#This Row],[Team Number]]&gt;0,MIN(_xlfn.RANK.EQ(RobotGameScores[[#This Row],[Highest Robot Game Score]],RobotGameScores[Highest Robot Game Score],0),NumberOfTeams),NumberOfTeams+1)</f>
        <v>1</v>
      </c>
      <c r="B193" s="12">
        <f>_xlfn.XLOOKUP(192,OfficialTeamList[Row],OfficialTeamList[Team Number],"ERROR",0)</f>
        <v>0</v>
      </c>
      <c r="C193" s="42" t="str">
        <f>_xlfn.XLOOKUP(RobotDesignResults[[#This Row],[Team Number]],OfficialTeamList[Team Number],OfficialTeamList[Team Name],"",0,)</f>
        <v/>
      </c>
      <c r="G193" s="12"/>
      <c r="H193" s="12"/>
      <c r="I193" s="88">
        <f>IF(RobotGameScores[[#This Row],[Team Number]]&gt;0,MAX(RobotGameScores[[#This Row],[Robot Game 1 Score]:[Robot Game 5 Score]]),0)</f>
        <v>0</v>
      </c>
    </row>
    <row r="194" spans="1:9" ht="30" customHeight="1" x14ac:dyDescent="0.5">
      <c r="A194">
        <f>IF(RobotGameScores[[#This Row],[Team Number]]&gt;0,MIN(_xlfn.RANK.EQ(RobotGameScores[[#This Row],[Highest Robot Game Score]],RobotGameScores[Highest Robot Game Score],0),NumberOfTeams),NumberOfTeams+1)</f>
        <v>1</v>
      </c>
      <c r="B194" s="12">
        <f>_xlfn.XLOOKUP(193,OfficialTeamList[Row],OfficialTeamList[Team Number],"ERROR",0)</f>
        <v>0</v>
      </c>
      <c r="C194" s="42" t="str">
        <f>_xlfn.XLOOKUP(RobotDesignResults[[#This Row],[Team Number]],OfficialTeamList[Team Number],OfficialTeamList[Team Name],"",0,)</f>
        <v/>
      </c>
      <c r="G194" s="12"/>
      <c r="H194" s="12"/>
      <c r="I194" s="88">
        <f>IF(RobotGameScores[[#This Row],[Team Number]]&gt;0,MAX(RobotGameScores[[#This Row],[Robot Game 1 Score]:[Robot Game 5 Score]]),0)</f>
        <v>0</v>
      </c>
    </row>
    <row r="195" spans="1:9" ht="30" customHeight="1" x14ac:dyDescent="0.5">
      <c r="A195">
        <f>IF(RobotGameScores[[#This Row],[Team Number]]&gt;0,MIN(_xlfn.RANK.EQ(RobotGameScores[[#This Row],[Highest Robot Game Score]],RobotGameScores[Highest Robot Game Score],0),NumberOfTeams),NumberOfTeams+1)</f>
        <v>1</v>
      </c>
      <c r="B195" s="12">
        <f>_xlfn.XLOOKUP(194,OfficialTeamList[Row],OfficialTeamList[Team Number],"ERROR",0)</f>
        <v>0</v>
      </c>
      <c r="C195" s="42" t="str">
        <f>_xlfn.XLOOKUP(RobotDesignResults[[#This Row],[Team Number]],OfficialTeamList[Team Number],OfficialTeamList[Team Name],"",0,)</f>
        <v/>
      </c>
      <c r="G195" s="12"/>
      <c r="H195" s="12"/>
      <c r="I195" s="88">
        <f>IF(RobotGameScores[[#This Row],[Team Number]]&gt;0,MAX(RobotGameScores[[#This Row],[Robot Game 1 Score]:[Robot Game 5 Score]]),0)</f>
        <v>0</v>
      </c>
    </row>
    <row r="196" spans="1:9" ht="30" customHeight="1" x14ac:dyDescent="0.5">
      <c r="A196">
        <f>IF(RobotGameScores[[#This Row],[Team Number]]&gt;0,MIN(_xlfn.RANK.EQ(RobotGameScores[[#This Row],[Highest Robot Game Score]],RobotGameScores[Highest Robot Game Score],0),NumberOfTeams),NumberOfTeams+1)</f>
        <v>1</v>
      </c>
      <c r="B196" s="12">
        <f>_xlfn.XLOOKUP(195,OfficialTeamList[Row],OfficialTeamList[Team Number],"ERROR",0)</f>
        <v>0</v>
      </c>
      <c r="C196" s="42" t="str">
        <f>_xlfn.XLOOKUP(RobotDesignResults[[#This Row],[Team Number]],OfficialTeamList[Team Number],OfficialTeamList[Team Name],"",0,)</f>
        <v/>
      </c>
      <c r="G196" s="12"/>
      <c r="H196" s="12"/>
      <c r="I196" s="88">
        <f>IF(RobotGameScores[[#This Row],[Team Number]]&gt;0,MAX(RobotGameScores[[#This Row],[Robot Game 1 Score]:[Robot Game 5 Score]]),0)</f>
        <v>0</v>
      </c>
    </row>
    <row r="197" spans="1:9" ht="30" customHeight="1" x14ac:dyDescent="0.5">
      <c r="A197">
        <f>IF(RobotGameScores[[#This Row],[Team Number]]&gt;0,MIN(_xlfn.RANK.EQ(RobotGameScores[[#This Row],[Highest Robot Game Score]],RobotGameScores[Highest Robot Game Score],0),NumberOfTeams),NumberOfTeams+1)</f>
        <v>1</v>
      </c>
      <c r="B197" s="12">
        <f>_xlfn.XLOOKUP(196,OfficialTeamList[Row],OfficialTeamList[Team Number],"ERROR",0)</f>
        <v>0</v>
      </c>
      <c r="C197" s="42" t="str">
        <f>_xlfn.XLOOKUP(RobotDesignResults[[#This Row],[Team Number]],OfficialTeamList[Team Number],OfficialTeamList[Team Name],"",0,)</f>
        <v/>
      </c>
      <c r="G197" s="12"/>
      <c r="H197" s="12"/>
      <c r="I197" s="88">
        <f>IF(RobotGameScores[[#This Row],[Team Number]]&gt;0,MAX(RobotGameScores[[#This Row],[Robot Game 1 Score]:[Robot Game 5 Score]]),0)</f>
        <v>0</v>
      </c>
    </row>
    <row r="198" spans="1:9" ht="30" customHeight="1" x14ac:dyDescent="0.5">
      <c r="A198">
        <f>IF(RobotGameScores[[#This Row],[Team Number]]&gt;0,MIN(_xlfn.RANK.EQ(RobotGameScores[[#This Row],[Highest Robot Game Score]],RobotGameScores[Highest Robot Game Score],0),NumberOfTeams),NumberOfTeams+1)</f>
        <v>1</v>
      </c>
      <c r="B198" s="12">
        <f>_xlfn.XLOOKUP(197,OfficialTeamList[Row],OfficialTeamList[Team Number],"ERROR",0)</f>
        <v>0</v>
      </c>
      <c r="C198" s="42" t="str">
        <f>_xlfn.XLOOKUP(RobotDesignResults[[#This Row],[Team Number]],OfficialTeamList[Team Number],OfficialTeamList[Team Name],"",0,)</f>
        <v/>
      </c>
      <c r="G198" s="12"/>
      <c r="H198" s="12"/>
      <c r="I198" s="88">
        <f>IF(RobotGameScores[[#This Row],[Team Number]]&gt;0,MAX(RobotGameScores[[#This Row],[Robot Game 1 Score]:[Robot Game 5 Score]]),0)</f>
        <v>0</v>
      </c>
    </row>
    <row r="199" spans="1:9" ht="30" customHeight="1" x14ac:dyDescent="0.5">
      <c r="A199">
        <f>IF(RobotGameScores[[#This Row],[Team Number]]&gt;0,MIN(_xlfn.RANK.EQ(RobotGameScores[[#This Row],[Highest Robot Game Score]],RobotGameScores[Highest Robot Game Score],0),NumberOfTeams),NumberOfTeams+1)</f>
        <v>1</v>
      </c>
      <c r="B199" s="12">
        <f>_xlfn.XLOOKUP(198,OfficialTeamList[Row],OfficialTeamList[Team Number],"ERROR",0)</f>
        <v>0</v>
      </c>
      <c r="C199" s="42" t="str">
        <f>_xlfn.XLOOKUP(RobotDesignResults[[#This Row],[Team Number]],OfficialTeamList[Team Number],OfficialTeamList[Team Name],"",0,)</f>
        <v/>
      </c>
      <c r="G199" s="12"/>
      <c r="H199" s="12"/>
      <c r="I199" s="88">
        <f>IF(RobotGameScores[[#This Row],[Team Number]]&gt;0,MAX(RobotGameScores[[#This Row],[Robot Game 1 Score]:[Robot Game 5 Score]]),0)</f>
        <v>0</v>
      </c>
    </row>
    <row r="200" spans="1:9" ht="30" customHeight="1" x14ac:dyDescent="0.5">
      <c r="A200">
        <f>IF(RobotGameScores[[#This Row],[Team Number]]&gt;0,MIN(_xlfn.RANK.EQ(RobotGameScores[[#This Row],[Highest Robot Game Score]],RobotGameScores[Highest Robot Game Score],0),NumberOfTeams),NumberOfTeams+1)</f>
        <v>1</v>
      </c>
      <c r="B200" s="12">
        <f>_xlfn.XLOOKUP(199,OfficialTeamList[Row],OfficialTeamList[Team Number],"ERROR",0)</f>
        <v>0</v>
      </c>
      <c r="C200" s="42" t="str">
        <f>_xlfn.XLOOKUP(RobotDesignResults[[#This Row],[Team Number]],OfficialTeamList[Team Number],OfficialTeamList[Team Name],"",0,)</f>
        <v/>
      </c>
      <c r="G200" s="12"/>
      <c r="H200" s="12"/>
      <c r="I200" s="88">
        <f>IF(RobotGameScores[[#This Row],[Team Number]]&gt;0,MAX(RobotGameScores[[#This Row],[Robot Game 1 Score]:[Robot Game 5 Score]]),0)</f>
        <v>0</v>
      </c>
    </row>
    <row r="201" spans="1:9" ht="30" customHeight="1" x14ac:dyDescent="0.5">
      <c r="A201">
        <f>IF(RobotGameScores[[#This Row],[Team Number]]&gt;0,MIN(_xlfn.RANK.EQ(RobotGameScores[[#This Row],[Highest Robot Game Score]],RobotGameScores[Highest Robot Game Score],0),NumberOfTeams),NumberOfTeams+1)</f>
        <v>1</v>
      </c>
      <c r="B201" s="12">
        <f>_xlfn.XLOOKUP(200,OfficialTeamList[Row],OfficialTeamList[Team Number],"ERROR",0)</f>
        <v>0</v>
      </c>
      <c r="C201" s="42" t="str">
        <f>_xlfn.XLOOKUP(RobotDesignResults[[#This Row],[Team Number]],OfficialTeamList[Team Number],OfficialTeamList[Team Name],"",0,)</f>
        <v/>
      </c>
      <c r="G201" s="12"/>
      <c r="H201" s="12"/>
      <c r="I201" s="88">
        <f>IF(RobotGameScores[[#This Row],[Team Number]]&gt;0,MAX(RobotGameScores[[#This Row],[Robot Game 1 Score]:[Robot Game 5 Score]]),0)</f>
        <v>0</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AEA1F-59F0-4F78-8C2C-31E4CFBDC309}">
  <sheetPr>
    <tabColor rgb="FFFF0000"/>
  </sheetPr>
  <dimension ref="A1:Y201"/>
  <sheetViews>
    <sheetView showGridLines="0" workbookViewId="0"/>
  </sheetViews>
  <sheetFormatPr defaultRowHeight="14.25" outlineLevelCol="1" x14ac:dyDescent="0.45"/>
  <cols>
    <col min="1" max="1" width="15.46484375" customWidth="1"/>
    <col min="2" max="2" width="32.46484375" customWidth="1"/>
    <col min="3" max="12" width="5.86328125" hidden="1" customWidth="1" outlineLevel="1"/>
    <col min="13" max="13" width="7.46484375" customWidth="1" collapsed="1"/>
    <col min="14" max="15" width="7.46484375" customWidth="1"/>
    <col min="16" max="19" width="7.46484375" hidden="1" customWidth="1" outlineLevel="1"/>
    <col min="20" max="20" width="7.46484375" customWidth="1" collapsed="1"/>
    <col min="21" max="21" width="10.46484375" customWidth="1"/>
    <col min="22" max="22" width="15.46484375" customWidth="1"/>
    <col min="23" max="25" width="10.46484375" customWidth="1"/>
  </cols>
  <sheetData>
    <row r="1" spans="1:25" ht="170" customHeight="1" x14ac:dyDescent="0.45">
      <c r="A1" s="37" t="s">
        <v>23</v>
      </c>
      <c r="B1" s="38" t="s">
        <v>24</v>
      </c>
      <c r="C1" s="75" t="s">
        <v>89</v>
      </c>
      <c r="D1" s="75" t="s">
        <v>90</v>
      </c>
      <c r="E1" s="75" t="s">
        <v>91</v>
      </c>
      <c r="F1" s="75" t="s">
        <v>92</v>
      </c>
      <c r="G1" s="75" t="s">
        <v>93</v>
      </c>
      <c r="H1" s="75" t="s">
        <v>94</v>
      </c>
      <c r="I1" s="75" t="s">
        <v>95</v>
      </c>
      <c r="J1" s="75" t="s">
        <v>96</v>
      </c>
      <c r="K1" s="75" t="s">
        <v>97</v>
      </c>
      <c r="L1" s="75" t="s">
        <v>98</v>
      </c>
      <c r="M1" s="76" t="s">
        <v>99</v>
      </c>
      <c r="N1" s="76" t="s">
        <v>100</v>
      </c>
      <c r="O1" s="76" t="s">
        <v>101</v>
      </c>
      <c r="P1" s="76" t="s">
        <v>102</v>
      </c>
      <c r="Q1" s="76" t="s">
        <v>103</v>
      </c>
      <c r="R1" s="77" t="s">
        <v>104</v>
      </c>
      <c r="S1" s="77" t="s">
        <v>105</v>
      </c>
      <c r="T1" s="78" t="s">
        <v>106</v>
      </c>
      <c r="U1" s="79" t="s">
        <v>60</v>
      </c>
      <c r="V1" s="79" t="s">
        <v>52</v>
      </c>
      <c r="W1" s="80" t="s">
        <v>107</v>
      </c>
      <c r="X1" s="80" t="s">
        <v>108</v>
      </c>
      <c r="Y1" s="80" t="s">
        <v>109</v>
      </c>
    </row>
    <row r="2" spans="1:25" ht="30" customHeight="1" x14ac:dyDescent="0.45">
      <c r="A2" s="12">
        <f>(_xlfn.XLOOKUP(1,OfficialTeamList[Row],OfficialTeamList[Team Number],"ERROR",0))+0</f>
        <v>0</v>
      </c>
      <c r="B2" s="42" t="str">
        <f>_xlfn.XLOOKUP(CoreValuesResults[[#This Row],[Team Number]],OfficialTeamList[Team Number],OfficialTeamList[Team Name],"",0,)</f>
        <v/>
      </c>
      <c r="C2" s="87">
        <f>_xlfn.XLOOKUP(CoreValuesResults[[#This Row],[Team Number]],InnovationProjectResults[Team Number],InnovationProjectResults[Identify - Research (CV)])</f>
        <v>0</v>
      </c>
      <c r="D2" s="87">
        <f>_xlfn.XLOOKUP(CoreValuesResults[[#This Row],[Team Number]],InnovationProjectResults[Team Number],InnovationProjectResults[Design - Teamwork (CV)])</f>
        <v>0</v>
      </c>
      <c r="E2" s="87">
        <f>_xlfn.XLOOKUP(CoreValuesResults[[#This Row],[Team Number]],InnovationProjectResults[Team Number],InnovationProjectResults[Create - Innovation (CV)])</f>
        <v>0</v>
      </c>
      <c r="F2" s="87">
        <f>_xlfn.XLOOKUP(CoreValuesResults[[#This Row],[Team Number]],InnovationProjectResults[Team Number],InnovationProjectResults[Communicate - Impact (CV)])</f>
        <v>0</v>
      </c>
      <c r="G2" s="87">
        <f>_xlfn.XLOOKUP(CoreValuesResults[[#This Row],[Team Number]],InnovationProjectResults[Team Number],InnovationProjectResults[Communicate - Fun (CV)])</f>
        <v>0</v>
      </c>
      <c r="H2" s="87">
        <f>_xlfn.XLOOKUP(CoreValuesResults[[#This Row],[Team Number]],RobotDesignResults[Team Number],RobotDesignResults[Identify - Research (CV)])</f>
        <v>0</v>
      </c>
      <c r="I2" s="87">
        <f>_xlfn.XLOOKUP(CoreValuesResults[[#This Row],[Team Number]],RobotDesignResults[Team Number],RobotDesignResults[Design - Ideas (CV)])</f>
        <v>0</v>
      </c>
      <c r="J2" s="87">
        <f>_xlfn.XLOOKUP(CoreValuesResults[[#This Row],[Team Number]],RobotDesignResults[Team Number],RobotDesignResults[Iterate - Improvements (CV)])</f>
        <v>0</v>
      </c>
      <c r="K2" s="87">
        <f>_xlfn.XLOOKUP(CoreValuesResults[[#This Row],[Team Number]],RobotDesignResults[Team Number],RobotDesignResults[Communicate - Impact (CV)])</f>
        <v>0</v>
      </c>
      <c r="L2" s="87">
        <f>_xlfn.XLOOKUP(CoreValuesResults[[#This Row],[Team Number]],RobotDesignResults[Team Number],RobotDesignResults[Communicate - Fun (CV)])</f>
        <v>0</v>
      </c>
      <c r="M2" s="17"/>
      <c r="N2" s="17"/>
      <c r="O2" s="17"/>
      <c r="P2" s="17"/>
      <c r="Q2" s="17"/>
      <c r="R2" s="12" t="str">
        <f>IF(CoreValuesResults[[#This Row],[Gracious Professionalism 1]]="","",COUNTIF(CoreValuesResults[[#This Row],[Gracious Professionalism 1]:[Gracious Professionalism 5]],""))</f>
        <v/>
      </c>
      <c r="S2" s="12" t="str">
        <f>IF(CoreValuesResults[[#This Row],[Gracious Professionalism 1]]="","",SUM(CoreValuesResults[[#This Row],[Gracious Professionalism 1]:[Gracious Professionalism 5]]))</f>
        <v/>
      </c>
      <c r="T2"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2" s="81">
        <f>SUM(CoreValuesResults[[#This Row],[Discovery (IP)]:[Fun (RD)]],CoreValuesResults[[#This Row],[Gracious Professionalism Score]])</f>
        <v>0</v>
      </c>
      <c r="V2" s="43">
        <f>IF(CoreValuesResults[[#This Row],[Team Number]]&gt;0,MIN(_xlfn.RANK.EQ(CoreValuesResults[[#This Row],[Core Values Score]],CoreValuesResults[Core Values Score],0),NumberOfTeams),NumberOfTeams+1)</f>
        <v>1</v>
      </c>
      <c r="W2" s="82"/>
      <c r="X2" s="82"/>
      <c r="Y2" s="82"/>
    </row>
    <row r="3" spans="1:25" ht="30" customHeight="1" x14ac:dyDescent="0.45">
      <c r="A3" s="12">
        <f>(_xlfn.XLOOKUP(2,OfficialTeamList[Row],OfficialTeamList[Team Number],"ERROR",0))+0</f>
        <v>0</v>
      </c>
      <c r="B3" s="42" t="str">
        <f>_xlfn.XLOOKUP(CoreValuesResults[[#This Row],[Team Number]],OfficialTeamList[Team Number],OfficialTeamList[Team Name],"",0,)</f>
        <v/>
      </c>
      <c r="C3" s="87">
        <f>_xlfn.XLOOKUP(CoreValuesResults[[#This Row],[Team Number]],InnovationProjectResults[Team Number],InnovationProjectResults[Identify - Research (CV)])</f>
        <v>0</v>
      </c>
      <c r="D3" s="87">
        <f>_xlfn.XLOOKUP(CoreValuesResults[[#This Row],[Team Number]],InnovationProjectResults[Team Number],InnovationProjectResults[Design - Teamwork (CV)])</f>
        <v>0</v>
      </c>
      <c r="E3" s="87">
        <f>_xlfn.XLOOKUP(CoreValuesResults[[#This Row],[Team Number]],InnovationProjectResults[Team Number],InnovationProjectResults[Create - Innovation (CV)])</f>
        <v>0</v>
      </c>
      <c r="F3" s="87">
        <f>_xlfn.XLOOKUP(CoreValuesResults[[#This Row],[Team Number]],InnovationProjectResults[Team Number],InnovationProjectResults[Communicate - Impact (CV)])</f>
        <v>0</v>
      </c>
      <c r="G3" s="87">
        <f>_xlfn.XLOOKUP(CoreValuesResults[[#This Row],[Team Number]],InnovationProjectResults[Team Number],InnovationProjectResults[Communicate - Fun (CV)])</f>
        <v>0</v>
      </c>
      <c r="H3" s="87">
        <f>_xlfn.XLOOKUP(CoreValuesResults[[#This Row],[Team Number]],RobotDesignResults[Team Number],RobotDesignResults[Identify - Research (CV)])</f>
        <v>0</v>
      </c>
      <c r="I3" s="87">
        <f>_xlfn.XLOOKUP(CoreValuesResults[[#This Row],[Team Number]],RobotDesignResults[Team Number],RobotDesignResults[Design - Ideas (CV)])</f>
        <v>0</v>
      </c>
      <c r="J3" s="87">
        <f>_xlfn.XLOOKUP(CoreValuesResults[[#This Row],[Team Number]],RobotDesignResults[Team Number],RobotDesignResults[Iterate - Improvements (CV)])</f>
        <v>0</v>
      </c>
      <c r="K3" s="87">
        <f>_xlfn.XLOOKUP(CoreValuesResults[[#This Row],[Team Number]],RobotDesignResults[Team Number],RobotDesignResults[Communicate - Impact (CV)])</f>
        <v>0</v>
      </c>
      <c r="L3" s="87">
        <f>_xlfn.XLOOKUP(CoreValuesResults[[#This Row],[Team Number]],RobotDesignResults[Team Number],RobotDesignResults[Communicate - Fun (CV)])</f>
        <v>0</v>
      </c>
      <c r="M3" s="17"/>
      <c r="N3" s="17"/>
      <c r="O3" s="17"/>
      <c r="P3" s="17"/>
      <c r="Q3" s="17"/>
      <c r="R3" s="12" t="str">
        <f>IF(CoreValuesResults[[#This Row],[Gracious Professionalism 1]]="","",COUNTIF(CoreValuesResults[[#This Row],[Gracious Professionalism 1]:[Gracious Professionalism 5]],""))</f>
        <v/>
      </c>
      <c r="S3" s="12" t="str">
        <f>IF(CoreValuesResults[[#This Row],[Gracious Professionalism 1]]="","",SUM(CoreValuesResults[[#This Row],[Gracious Professionalism 1]:[Gracious Professionalism 5]]))</f>
        <v/>
      </c>
      <c r="T3"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3" s="81">
        <f>SUM(CoreValuesResults[[#This Row],[Discovery (IP)]:[Fun (RD)]],CoreValuesResults[[#This Row],[Gracious Professionalism Score]])</f>
        <v>0</v>
      </c>
      <c r="V3" s="43">
        <f>IF(CoreValuesResults[[#This Row],[Team Number]]&gt;0,MIN(_xlfn.RANK.EQ(CoreValuesResults[[#This Row],[Core Values Score]],CoreValuesResults[Core Values Score],0),NumberOfTeams),NumberOfTeams+1)</f>
        <v>1</v>
      </c>
      <c r="W3" s="82"/>
      <c r="X3" s="82"/>
      <c r="Y3" s="82"/>
    </row>
    <row r="4" spans="1:25" ht="30" customHeight="1" x14ac:dyDescent="0.45">
      <c r="A4" s="12">
        <f>(_xlfn.XLOOKUP(3,OfficialTeamList[Row],OfficialTeamList[Team Number],"ERROR",0))+0</f>
        <v>0</v>
      </c>
      <c r="B4" s="42" t="str">
        <f>_xlfn.XLOOKUP(CoreValuesResults[[#This Row],[Team Number]],OfficialTeamList[Team Number],OfficialTeamList[Team Name],"",0,)</f>
        <v/>
      </c>
      <c r="C4" s="87">
        <f>_xlfn.XLOOKUP(CoreValuesResults[[#This Row],[Team Number]],InnovationProjectResults[Team Number],InnovationProjectResults[Identify - Research (CV)])</f>
        <v>0</v>
      </c>
      <c r="D4" s="87">
        <f>_xlfn.XLOOKUP(CoreValuesResults[[#This Row],[Team Number]],InnovationProjectResults[Team Number],InnovationProjectResults[Design - Teamwork (CV)])</f>
        <v>0</v>
      </c>
      <c r="E4" s="87">
        <f>_xlfn.XLOOKUP(CoreValuesResults[[#This Row],[Team Number]],InnovationProjectResults[Team Number],InnovationProjectResults[Create - Innovation (CV)])</f>
        <v>0</v>
      </c>
      <c r="F4" s="87">
        <f>_xlfn.XLOOKUP(CoreValuesResults[[#This Row],[Team Number]],InnovationProjectResults[Team Number],InnovationProjectResults[Communicate - Impact (CV)])</f>
        <v>0</v>
      </c>
      <c r="G4" s="87">
        <f>_xlfn.XLOOKUP(CoreValuesResults[[#This Row],[Team Number]],InnovationProjectResults[Team Number],InnovationProjectResults[Communicate - Fun (CV)])</f>
        <v>0</v>
      </c>
      <c r="H4" s="87">
        <f>_xlfn.XLOOKUP(CoreValuesResults[[#This Row],[Team Number]],RobotDesignResults[Team Number],RobotDesignResults[Identify - Research (CV)])</f>
        <v>0</v>
      </c>
      <c r="I4" s="87">
        <f>_xlfn.XLOOKUP(CoreValuesResults[[#This Row],[Team Number]],RobotDesignResults[Team Number],RobotDesignResults[Design - Ideas (CV)])</f>
        <v>0</v>
      </c>
      <c r="J4" s="87">
        <f>_xlfn.XLOOKUP(CoreValuesResults[[#This Row],[Team Number]],RobotDesignResults[Team Number],RobotDesignResults[Iterate - Improvements (CV)])</f>
        <v>0</v>
      </c>
      <c r="K4" s="87">
        <f>_xlfn.XLOOKUP(CoreValuesResults[[#This Row],[Team Number]],RobotDesignResults[Team Number],RobotDesignResults[Communicate - Impact (CV)])</f>
        <v>0</v>
      </c>
      <c r="L4" s="87">
        <f>_xlfn.XLOOKUP(CoreValuesResults[[#This Row],[Team Number]],RobotDesignResults[Team Number],RobotDesignResults[Communicate - Fun (CV)])</f>
        <v>0</v>
      </c>
      <c r="M4" s="17"/>
      <c r="N4" s="17"/>
      <c r="O4" s="17"/>
      <c r="P4" s="17"/>
      <c r="Q4" s="17"/>
      <c r="R4" s="12" t="str">
        <f>IF(CoreValuesResults[[#This Row],[Gracious Professionalism 1]]="","",COUNTIF(CoreValuesResults[[#This Row],[Gracious Professionalism 1]:[Gracious Professionalism 5]],""))</f>
        <v/>
      </c>
      <c r="S4" s="12" t="str">
        <f>IF(CoreValuesResults[[#This Row],[Gracious Professionalism 1]]="","",SUM(CoreValuesResults[[#This Row],[Gracious Professionalism 1]:[Gracious Professionalism 5]]))</f>
        <v/>
      </c>
      <c r="T4"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4" s="81">
        <f>SUM(CoreValuesResults[[#This Row],[Discovery (IP)]:[Fun (RD)]],CoreValuesResults[[#This Row],[Gracious Professionalism Score]])</f>
        <v>0</v>
      </c>
      <c r="V4" s="43">
        <f>IF(CoreValuesResults[[#This Row],[Team Number]]&gt;0,MIN(_xlfn.RANK.EQ(CoreValuesResults[[#This Row],[Core Values Score]],CoreValuesResults[Core Values Score],0),NumberOfTeams),NumberOfTeams+1)</f>
        <v>1</v>
      </c>
      <c r="W4" s="82"/>
      <c r="X4" s="82"/>
      <c r="Y4" s="82"/>
    </row>
    <row r="5" spans="1:25" ht="30" customHeight="1" x14ac:dyDescent="0.45">
      <c r="A5" s="12">
        <f>_xlfn.XLOOKUP(4,OfficialTeamList[Row],OfficialTeamList[Team Number],"ERROR",0)</f>
        <v>0</v>
      </c>
      <c r="B5" s="42" t="str">
        <f>_xlfn.XLOOKUP(CoreValuesResults[[#This Row],[Team Number]],OfficialTeamList[Team Number],OfficialTeamList[Team Name],"",0,)</f>
        <v/>
      </c>
      <c r="C5" s="87">
        <f>_xlfn.XLOOKUP(CoreValuesResults[[#This Row],[Team Number]],InnovationProjectResults[Team Number],InnovationProjectResults[Identify - Research (CV)])</f>
        <v>0</v>
      </c>
      <c r="D5" s="87">
        <f>_xlfn.XLOOKUP(CoreValuesResults[[#This Row],[Team Number]],InnovationProjectResults[Team Number],InnovationProjectResults[Design - Teamwork (CV)])</f>
        <v>0</v>
      </c>
      <c r="E5" s="87">
        <f>_xlfn.XLOOKUP(CoreValuesResults[[#This Row],[Team Number]],InnovationProjectResults[Team Number],InnovationProjectResults[Create - Innovation (CV)])</f>
        <v>0</v>
      </c>
      <c r="F5" s="87">
        <f>_xlfn.XLOOKUP(CoreValuesResults[[#This Row],[Team Number]],InnovationProjectResults[Team Number],InnovationProjectResults[Communicate - Impact (CV)])</f>
        <v>0</v>
      </c>
      <c r="G5" s="87">
        <f>_xlfn.XLOOKUP(CoreValuesResults[[#This Row],[Team Number]],InnovationProjectResults[Team Number],InnovationProjectResults[Communicate - Fun (CV)])</f>
        <v>0</v>
      </c>
      <c r="H5" s="87">
        <f>_xlfn.XLOOKUP(CoreValuesResults[[#This Row],[Team Number]],RobotDesignResults[Team Number],RobotDesignResults[Identify - Research (CV)])</f>
        <v>0</v>
      </c>
      <c r="I5" s="87">
        <f>_xlfn.XLOOKUP(CoreValuesResults[[#This Row],[Team Number]],RobotDesignResults[Team Number],RobotDesignResults[Design - Ideas (CV)])</f>
        <v>0</v>
      </c>
      <c r="J5" s="87">
        <f>_xlfn.XLOOKUP(CoreValuesResults[[#This Row],[Team Number]],RobotDesignResults[Team Number],RobotDesignResults[Iterate - Improvements (CV)])</f>
        <v>0</v>
      </c>
      <c r="K5" s="87">
        <f>_xlfn.XLOOKUP(CoreValuesResults[[#This Row],[Team Number]],RobotDesignResults[Team Number],RobotDesignResults[Communicate - Impact (CV)])</f>
        <v>0</v>
      </c>
      <c r="L5" s="87">
        <f>_xlfn.XLOOKUP(CoreValuesResults[[#This Row],[Team Number]],RobotDesignResults[Team Number],RobotDesignResults[Communicate - Fun (CV)])</f>
        <v>0</v>
      </c>
      <c r="M5" s="17"/>
      <c r="N5" s="17"/>
      <c r="O5" s="17"/>
      <c r="P5" s="17"/>
      <c r="Q5" s="17"/>
      <c r="R5" s="12" t="str">
        <f>IF(CoreValuesResults[[#This Row],[Gracious Professionalism 1]]="","",COUNTIF(CoreValuesResults[[#This Row],[Gracious Professionalism 1]:[Gracious Professionalism 5]],""))</f>
        <v/>
      </c>
      <c r="S5" s="12" t="str">
        <f>IF(CoreValuesResults[[#This Row],[Gracious Professionalism 1]]="","",SUM(CoreValuesResults[[#This Row],[Gracious Professionalism 1]:[Gracious Professionalism 5]]))</f>
        <v/>
      </c>
      <c r="T5"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5" s="81">
        <f>SUM(CoreValuesResults[[#This Row],[Discovery (IP)]:[Fun (RD)]],CoreValuesResults[[#This Row],[Gracious Professionalism Score]])</f>
        <v>0</v>
      </c>
      <c r="V5" s="43">
        <f>IF(CoreValuesResults[[#This Row],[Team Number]]&gt;0,MIN(_xlfn.RANK.EQ(CoreValuesResults[[#This Row],[Core Values Score]],CoreValuesResults[Core Values Score],0),NumberOfTeams),NumberOfTeams+1)</f>
        <v>1</v>
      </c>
      <c r="W5" s="82"/>
      <c r="X5" s="82"/>
      <c r="Y5" s="82"/>
    </row>
    <row r="6" spans="1:25" ht="30" customHeight="1" x14ac:dyDescent="0.45">
      <c r="A6" s="12">
        <f>_xlfn.XLOOKUP(5,OfficialTeamList[Row],OfficialTeamList[Team Number],"ERROR",0)</f>
        <v>0</v>
      </c>
      <c r="B6" s="42" t="str">
        <f>_xlfn.XLOOKUP(CoreValuesResults[[#This Row],[Team Number]],OfficialTeamList[Team Number],OfficialTeamList[Team Name],"",0,)</f>
        <v/>
      </c>
      <c r="C6" s="87">
        <f>_xlfn.XLOOKUP(CoreValuesResults[[#This Row],[Team Number]],InnovationProjectResults[Team Number],InnovationProjectResults[Identify - Research (CV)])</f>
        <v>0</v>
      </c>
      <c r="D6" s="87">
        <f>_xlfn.XLOOKUP(CoreValuesResults[[#This Row],[Team Number]],InnovationProjectResults[Team Number],InnovationProjectResults[Design - Teamwork (CV)])</f>
        <v>0</v>
      </c>
      <c r="E6" s="87">
        <f>_xlfn.XLOOKUP(CoreValuesResults[[#This Row],[Team Number]],InnovationProjectResults[Team Number],InnovationProjectResults[Create - Innovation (CV)])</f>
        <v>0</v>
      </c>
      <c r="F6" s="87">
        <f>_xlfn.XLOOKUP(CoreValuesResults[[#This Row],[Team Number]],InnovationProjectResults[Team Number],InnovationProjectResults[Communicate - Impact (CV)])</f>
        <v>0</v>
      </c>
      <c r="G6" s="87">
        <f>_xlfn.XLOOKUP(CoreValuesResults[[#This Row],[Team Number]],InnovationProjectResults[Team Number],InnovationProjectResults[Communicate - Fun (CV)])</f>
        <v>0</v>
      </c>
      <c r="H6" s="87">
        <f>_xlfn.XLOOKUP(CoreValuesResults[[#This Row],[Team Number]],RobotDesignResults[Team Number],RobotDesignResults[Identify - Research (CV)])</f>
        <v>0</v>
      </c>
      <c r="I6" s="87">
        <f>_xlfn.XLOOKUP(CoreValuesResults[[#This Row],[Team Number]],RobotDesignResults[Team Number],RobotDesignResults[Design - Ideas (CV)])</f>
        <v>0</v>
      </c>
      <c r="J6" s="87">
        <f>_xlfn.XLOOKUP(CoreValuesResults[[#This Row],[Team Number]],RobotDesignResults[Team Number],RobotDesignResults[Iterate - Improvements (CV)])</f>
        <v>0</v>
      </c>
      <c r="K6" s="87">
        <f>_xlfn.XLOOKUP(CoreValuesResults[[#This Row],[Team Number]],RobotDesignResults[Team Number],RobotDesignResults[Communicate - Impact (CV)])</f>
        <v>0</v>
      </c>
      <c r="L6" s="87">
        <f>_xlfn.XLOOKUP(CoreValuesResults[[#This Row],[Team Number]],RobotDesignResults[Team Number],RobotDesignResults[Communicate - Fun (CV)])</f>
        <v>0</v>
      </c>
      <c r="M6" s="17"/>
      <c r="N6" s="17"/>
      <c r="O6" s="17"/>
      <c r="P6" s="17"/>
      <c r="Q6" s="17"/>
      <c r="R6" s="12" t="str">
        <f>IF(CoreValuesResults[[#This Row],[Gracious Professionalism 1]]="","",COUNTIF(CoreValuesResults[[#This Row],[Gracious Professionalism 1]:[Gracious Professionalism 5]],""))</f>
        <v/>
      </c>
      <c r="S6" s="12" t="str">
        <f>IF(CoreValuesResults[[#This Row],[Gracious Professionalism 1]]="","",SUM(CoreValuesResults[[#This Row],[Gracious Professionalism 1]:[Gracious Professionalism 5]]))</f>
        <v/>
      </c>
      <c r="T6"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6" s="81">
        <f>SUM(CoreValuesResults[[#This Row],[Discovery (IP)]:[Fun (RD)]],CoreValuesResults[[#This Row],[Gracious Professionalism Score]])</f>
        <v>0</v>
      </c>
      <c r="V6" s="43">
        <f>IF(CoreValuesResults[[#This Row],[Team Number]]&gt;0,MIN(_xlfn.RANK.EQ(CoreValuesResults[[#This Row],[Core Values Score]],CoreValuesResults[Core Values Score],0),NumberOfTeams),NumberOfTeams+1)</f>
        <v>1</v>
      </c>
      <c r="W6" s="82"/>
      <c r="X6" s="82"/>
      <c r="Y6" s="82"/>
    </row>
    <row r="7" spans="1:25" ht="30" customHeight="1" x14ac:dyDescent="0.45">
      <c r="A7" s="12">
        <f>_xlfn.XLOOKUP(6,OfficialTeamList[Row],OfficialTeamList[Team Number],"ERROR",0)</f>
        <v>0</v>
      </c>
      <c r="B7" s="42" t="str">
        <f>_xlfn.XLOOKUP(CoreValuesResults[[#This Row],[Team Number]],OfficialTeamList[Team Number],OfficialTeamList[Team Name],"",0,)</f>
        <v/>
      </c>
      <c r="C7" s="87">
        <f>_xlfn.XLOOKUP(CoreValuesResults[[#This Row],[Team Number]],InnovationProjectResults[Team Number],InnovationProjectResults[Identify - Research (CV)])</f>
        <v>0</v>
      </c>
      <c r="D7" s="87">
        <f>_xlfn.XLOOKUP(CoreValuesResults[[#This Row],[Team Number]],InnovationProjectResults[Team Number],InnovationProjectResults[Design - Teamwork (CV)])</f>
        <v>0</v>
      </c>
      <c r="E7" s="87">
        <f>_xlfn.XLOOKUP(CoreValuesResults[[#This Row],[Team Number]],InnovationProjectResults[Team Number],InnovationProjectResults[Create - Innovation (CV)])</f>
        <v>0</v>
      </c>
      <c r="F7" s="87">
        <f>_xlfn.XLOOKUP(CoreValuesResults[[#This Row],[Team Number]],InnovationProjectResults[Team Number],InnovationProjectResults[Communicate - Impact (CV)])</f>
        <v>0</v>
      </c>
      <c r="G7" s="87">
        <f>_xlfn.XLOOKUP(CoreValuesResults[[#This Row],[Team Number]],InnovationProjectResults[Team Number],InnovationProjectResults[Communicate - Fun (CV)])</f>
        <v>0</v>
      </c>
      <c r="H7" s="87">
        <f>_xlfn.XLOOKUP(CoreValuesResults[[#This Row],[Team Number]],RobotDesignResults[Team Number],RobotDesignResults[Identify - Research (CV)])</f>
        <v>0</v>
      </c>
      <c r="I7" s="87">
        <f>_xlfn.XLOOKUP(CoreValuesResults[[#This Row],[Team Number]],RobotDesignResults[Team Number],RobotDesignResults[Design - Ideas (CV)])</f>
        <v>0</v>
      </c>
      <c r="J7" s="87">
        <f>_xlfn.XLOOKUP(CoreValuesResults[[#This Row],[Team Number]],RobotDesignResults[Team Number],RobotDesignResults[Iterate - Improvements (CV)])</f>
        <v>0</v>
      </c>
      <c r="K7" s="87">
        <f>_xlfn.XLOOKUP(CoreValuesResults[[#This Row],[Team Number]],RobotDesignResults[Team Number],RobotDesignResults[Communicate - Impact (CV)])</f>
        <v>0</v>
      </c>
      <c r="L7" s="87">
        <f>_xlfn.XLOOKUP(CoreValuesResults[[#This Row],[Team Number]],RobotDesignResults[Team Number],RobotDesignResults[Communicate - Fun (CV)])</f>
        <v>0</v>
      </c>
      <c r="M7" s="17"/>
      <c r="N7" s="17"/>
      <c r="O7" s="17"/>
      <c r="P7" s="17"/>
      <c r="Q7" s="17"/>
      <c r="R7" s="12" t="str">
        <f>IF(CoreValuesResults[[#This Row],[Gracious Professionalism 1]]="","",COUNTIF(CoreValuesResults[[#This Row],[Gracious Professionalism 1]:[Gracious Professionalism 5]],""))</f>
        <v/>
      </c>
      <c r="S7" s="12" t="str">
        <f>IF(CoreValuesResults[[#This Row],[Gracious Professionalism 1]]="","",SUM(CoreValuesResults[[#This Row],[Gracious Professionalism 1]:[Gracious Professionalism 5]]))</f>
        <v/>
      </c>
      <c r="T7"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7" s="81">
        <f>SUM(CoreValuesResults[[#This Row],[Discovery (IP)]:[Fun (RD)]],CoreValuesResults[[#This Row],[Gracious Professionalism Score]])</f>
        <v>0</v>
      </c>
      <c r="V7" s="43">
        <f>IF(CoreValuesResults[[#This Row],[Team Number]]&gt;0,MIN(_xlfn.RANK.EQ(CoreValuesResults[[#This Row],[Core Values Score]],CoreValuesResults[Core Values Score],0),NumberOfTeams),NumberOfTeams+1)</f>
        <v>1</v>
      </c>
      <c r="W7" s="82"/>
      <c r="X7" s="82"/>
      <c r="Y7" s="82"/>
    </row>
    <row r="8" spans="1:25" ht="30" customHeight="1" x14ac:dyDescent="0.45">
      <c r="A8" s="12">
        <f>_xlfn.XLOOKUP(7,OfficialTeamList[Row],OfficialTeamList[Team Number],"ERROR",0)</f>
        <v>0</v>
      </c>
      <c r="B8" s="42" t="str">
        <f>_xlfn.XLOOKUP(CoreValuesResults[[#This Row],[Team Number]],OfficialTeamList[Team Number],OfficialTeamList[Team Name],"",0,)</f>
        <v/>
      </c>
      <c r="C8" s="87">
        <f>_xlfn.XLOOKUP(CoreValuesResults[[#This Row],[Team Number]],InnovationProjectResults[Team Number],InnovationProjectResults[Identify - Research (CV)])</f>
        <v>0</v>
      </c>
      <c r="D8" s="87">
        <f>_xlfn.XLOOKUP(CoreValuesResults[[#This Row],[Team Number]],InnovationProjectResults[Team Number],InnovationProjectResults[Design - Teamwork (CV)])</f>
        <v>0</v>
      </c>
      <c r="E8" s="87">
        <f>_xlfn.XLOOKUP(CoreValuesResults[[#This Row],[Team Number]],InnovationProjectResults[Team Number],InnovationProjectResults[Create - Innovation (CV)])</f>
        <v>0</v>
      </c>
      <c r="F8" s="87">
        <f>_xlfn.XLOOKUP(CoreValuesResults[[#This Row],[Team Number]],InnovationProjectResults[Team Number],InnovationProjectResults[Communicate - Impact (CV)])</f>
        <v>0</v>
      </c>
      <c r="G8" s="87">
        <f>_xlfn.XLOOKUP(CoreValuesResults[[#This Row],[Team Number]],InnovationProjectResults[Team Number],InnovationProjectResults[Communicate - Fun (CV)])</f>
        <v>0</v>
      </c>
      <c r="H8" s="87">
        <f>_xlfn.XLOOKUP(CoreValuesResults[[#This Row],[Team Number]],RobotDesignResults[Team Number],RobotDesignResults[Identify - Research (CV)])</f>
        <v>0</v>
      </c>
      <c r="I8" s="87">
        <f>_xlfn.XLOOKUP(CoreValuesResults[[#This Row],[Team Number]],RobotDesignResults[Team Number],RobotDesignResults[Design - Ideas (CV)])</f>
        <v>0</v>
      </c>
      <c r="J8" s="87">
        <f>_xlfn.XLOOKUP(CoreValuesResults[[#This Row],[Team Number]],RobotDesignResults[Team Number],RobotDesignResults[Iterate - Improvements (CV)])</f>
        <v>0</v>
      </c>
      <c r="K8" s="87">
        <f>_xlfn.XLOOKUP(CoreValuesResults[[#This Row],[Team Number]],RobotDesignResults[Team Number],RobotDesignResults[Communicate - Impact (CV)])</f>
        <v>0</v>
      </c>
      <c r="L8" s="87">
        <f>_xlfn.XLOOKUP(CoreValuesResults[[#This Row],[Team Number]],RobotDesignResults[Team Number],RobotDesignResults[Communicate - Fun (CV)])</f>
        <v>0</v>
      </c>
      <c r="M8" s="17"/>
      <c r="N8" s="17"/>
      <c r="O8" s="17"/>
      <c r="P8" s="17"/>
      <c r="Q8" s="17"/>
      <c r="R8" s="12" t="str">
        <f>IF(CoreValuesResults[[#This Row],[Gracious Professionalism 1]]="","",COUNTIF(CoreValuesResults[[#This Row],[Gracious Professionalism 1]:[Gracious Professionalism 5]],""))</f>
        <v/>
      </c>
      <c r="S8" s="12" t="str">
        <f>IF(CoreValuesResults[[#This Row],[Gracious Professionalism 1]]="","",SUM(CoreValuesResults[[#This Row],[Gracious Professionalism 1]:[Gracious Professionalism 5]]))</f>
        <v/>
      </c>
      <c r="T8"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8" s="81">
        <f>SUM(CoreValuesResults[[#This Row],[Discovery (IP)]:[Fun (RD)]],CoreValuesResults[[#This Row],[Gracious Professionalism Score]])</f>
        <v>0</v>
      </c>
      <c r="V8" s="43">
        <f>IF(CoreValuesResults[[#This Row],[Team Number]]&gt;0,MIN(_xlfn.RANK.EQ(CoreValuesResults[[#This Row],[Core Values Score]],CoreValuesResults[Core Values Score],0),NumberOfTeams),NumberOfTeams+1)</f>
        <v>1</v>
      </c>
      <c r="W8" s="82"/>
      <c r="X8" s="82"/>
      <c r="Y8" s="82"/>
    </row>
    <row r="9" spans="1:25" ht="30" customHeight="1" x14ac:dyDescent="0.45">
      <c r="A9" s="12">
        <f>_xlfn.XLOOKUP(8,OfficialTeamList[Row],OfficialTeamList[Team Number],"ERROR",0)</f>
        <v>0</v>
      </c>
      <c r="B9" s="42" t="str">
        <f>_xlfn.XLOOKUP(CoreValuesResults[[#This Row],[Team Number]],OfficialTeamList[Team Number],OfficialTeamList[Team Name],"",0,)</f>
        <v/>
      </c>
      <c r="C9" s="87">
        <f>_xlfn.XLOOKUP(CoreValuesResults[[#This Row],[Team Number]],InnovationProjectResults[Team Number],InnovationProjectResults[Identify - Research (CV)])</f>
        <v>0</v>
      </c>
      <c r="D9" s="87">
        <f>_xlfn.XLOOKUP(CoreValuesResults[[#This Row],[Team Number]],InnovationProjectResults[Team Number],InnovationProjectResults[Design - Teamwork (CV)])</f>
        <v>0</v>
      </c>
      <c r="E9" s="87">
        <f>_xlfn.XLOOKUP(CoreValuesResults[[#This Row],[Team Number]],InnovationProjectResults[Team Number],InnovationProjectResults[Create - Innovation (CV)])</f>
        <v>0</v>
      </c>
      <c r="F9" s="87">
        <f>_xlfn.XLOOKUP(CoreValuesResults[[#This Row],[Team Number]],InnovationProjectResults[Team Number],InnovationProjectResults[Communicate - Impact (CV)])</f>
        <v>0</v>
      </c>
      <c r="G9" s="87">
        <f>_xlfn.XLOOKUP(CoreValuesResults[[#This Row],[Team Number]],InnovationProjectResults[Team Number],InnovationProjectResults[Communicate - Fun (CV)])</f>
        <v>0</v>
      </c>
      <c r="H9" s="87">
        <f>_xlfn.XLOOKUP(CoreValuesResults[[#This Row],[Team Number]],RobotDesignResults[Team Number],RobotDesignResults[Identify - Research (CV)])</f>
        <v>0</v>
      </c>
      <c r="I9" s="87">
        <f>_xlfn.XLOOKUP(CoreValuesResults[[#This Row],[Team Number]],RobotDesignResults[Team Number],RobotDesignResults[Design - Ideas (CV)])</f>
        <v>0</v>
      </c>
      <c r="J9" s="87">
        <f>_xlfn.XLOOKUP(CoreValuesResults[[#This Row],[Team Number]],RobotDesignResults[Team Number],RobotDesignResults[Iterate - Improvements (CV)])</f>
        <v>0</v>
      </c>
      <c r="K9" s="87">
        <f>_xlfn.XLOOKUP(CoreValuesResults[[#This Row],[Team Number]],RobotDesignResults[Team Number],RobotDesignResults[Communicate - Impact (CV)])</f>
        <v>0</v>
      </c>
      <c r="L9" s="87">
        <f>_xlfn.XLOOKUP(CoreValuesResults[[#This Row],[Team Number]],RobotDesignResults[Team Number],RobotDesignResults[Communicate - Fun (CV)])</f>
        <v>0</v>
      </c>
      <c r="M9" s="17"/>
      <c r="N9" s="17"/>
      <c r="O9" s="17"/>
      <c r="P9" s="17"/>
      <c r="Q9" s="17"/>
      <c r="R9" s="12" t="str">
        <f>IF(CoreValuesResults[[#This Row],[Gracious Professionalism 1]]="","",COUNTIF(CoreValuesResults[[#This Row],[Gracious Professionalism 1]:[Gracious Professionalism 5]],""))</f>
        <v/>
      </c>
      <c r="S9" s="12" t="str">
        <f>IF(CoreValuesResults[[#This Row],[Gracious Professionalism 1]]="","",SUM(CoreValuesResults[[#This Row],[Gracious Professionalism 1]:[Gracious Professionalism 5]]))</f>
        <v/>
      </c>
      <c r="T9"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9" s="81">
        <f>SUM(CoreValuesResults[[#This Row],[Discovery (IP)]:[Fun (RD)]],CoreValuesResults[[#This Row],[Gracious Professionalism Score]])</f>
        <v>0</v>
      </c>
      <c r="V9" s="43">
        <f>IF(CoreValuesResults[[#This Row],[Team Number]]&gt;0,MIN(_xlfn.RANK.EQ(CoreValuesResults[[#This Row],[Core Values Score]],CoreValuesResults[Core Values Score],0),NumberOfTeams),NumberOfTeams+1)</f>
        <v>1</v>
      </c>
      <c r="W9" s="82"/>
      <c r="X9" s="82"/>
      <c r="Y9" s="82"/>
    </row>
    <row r="10" spans="1:25" ht="30" customHeight="1" x14ac:dyDescent="0.45">
      <c r="A10" s="12">
        <f>_xlfn.XLOOKUP(9,OfficialTeamList[Row],OfficialTeamList[Team Number],"ERROR",0)</f>
        <v>0</v>
      </c>
      <c r="B10" s="42" t="str">
        <f>_xlfn.XLOOKUP(CoreValuesResults[[#This Row],[Team Number]],OfficialTeamList[Team Number],OfficialTeamList[Team Name],"",0,)</f>
        <v/>
      </c>
      <c r="C10" s="87">
        <f>_xlfn.XLOOKUP(CoreValuesResults[[#This Row],[Team Number]],InnovationProjectResults[Team Number],InnovationProjectResults[Identify - Research (CV)])</f>
        <v>0</v>
      </c>
      <c r="D10" s="87">
        <f>_xlfn.XLOOKUP(CoreValuesResults[[#This Row],[Team Number]],InnovationProjectResults[Team Number],InnovationProjectResults[Design - Teamwork (CV)])</f>
        <v>0</v>
      </c>
      <c r="E10" s="87">
        <f>_xlfn.XLOOKUP(CoreValuesResults[[#This Row],[Team Number]],InnovationProjectResults[Team Number],InnovationProjectResults[Create - Innovation (CV)])</f>
        <v>0</v>
      </c>
      <c r="F10" s="87">
        <f>_xlfn.XLOOKUP(CoreValuesResults[[#This Row],[Team Number]],InnovationProjectResults[Team Number],InnovationProjectResults[Communicate - Impact (CV)])</f>
        <v>0</v>
      </c>
      <c r="G10" s="87">
        <f>_xlfn.XLOOKUP(CoreValuesResults[[#This Row],[Team Number]],InnovationProjectResults[Team Number],InnovationProjectResults[Communicate - Fun (CV)])</f>
        <v>0</v>
      </c>
      <c r="H10" s="87">
        <f>_xlfn.XLOOKUP(CoreValuesResults[[#This Row],[Team Number]],RobotDesignResults[Team Number],RobotDesignResults[Identify - Research (CV)])</f>
        <v>0</v>
      </c>
      <c r="I10" s="87">
        <f>_xlfn.XLOOKUP(CoreValuesResults[[#This Row],[Team Number]],RobotDesignResults[Team Number],RobotDesignResults[Design - Ideas (CV)])</f>
        <v>0</v>
      </c>
      <c r="J10" s="87">
        <f>_xlfn.XLOOKUP(CoreValuesResults[[#This Row],[Team Number]],RobotDesignResults[Team Number],RobotDesignResults[Iterate - Improvements (CV)])</f>
        <v>0</v>
      </c>
      <c r="K10" s="87">
        <f>_xlfn.XLOOKUP(CoreValuesResults[[#This Row],[Team Number]],RobotDesignResults[Team Number],RobotDesignResults[Communicate - Impact (CV)])</f>
        <v>0</v>
      </c>
      <c r="L10" s="87">
        <f>_xlfn.XLOOKUP(CoreValuesResults[[#This Row],[Team Number]],RobotDesignResults[Team Number],RobotDesignResults[Communicate - Fun (CV)])</f>
        <v>0</v>
      </c>
      <c r="M10" s="17"/>
      <c r="N10" s="17"/>
      <c r="O10" s="17"/>
      <c r="P10" s="17"/>
      <c r="Q10" s="17"/>
      <c r="R10" s="12" t="str">
        <f>IF(CoreValuesResults[[#This Row],[Gracious Professionalism 1]]="","",COUNTIF(CoreValuesResults[[#This Row],[Gracious Professionalism 1]:[Gracious Professionalism 5]],""))</f>
        <v/>
      </c>
      <c r="S10" s="12" t="str">
        <f>IF(CoreValuesResults[[#This Row],[Gracious Professionalism 1]]="","",SUM(CoreValuesResults[[#This Row],[Gracious Professionalism 1]:[Gracious Professionalism 5]]))</f>
        <v/>
      </c>
      <c r="T10"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10" s="81">
        <f>SUM(CoreValuesResults[[#This Row],[Discovery (IP)]:[Fun (RD)]],CoreValuesResults[[#This Row],[Gracious Professionalism Score]])</f>
        <v>0</v>
      </c>
      <c r="V10" s="43">
        <f>IF(CoreValuesResults[[#This Row],[Team Number]]&gt;0,MIN(_xlfn.RANK.EQ(CoreValuesResults[[#This Row],[Core Values Score]],CoreValuesResults[Core Values Score],0),NumberOfTeams),NumberOfTeams+1)</f>
        <v>1</v>
      </c>
      <c r="W10" s="82"/>
      <c r="X10" s="82"/>
      <c r="Y10" s="82"/>
    </row>
    <row r="11" spans="1:25" ht="30" customHeight="1" x14ac:dyDescent="0.45">
      <c r="A11" s="12">
        <f>_xlfn.XLOOKUP(10,OfficialTeamList[Row],OfficialTeamList[Team Number],"ERROR",0)</f>
        <v>0</v>
      </c>
      <c r="B11" s="42" t="str">
        <f>_xlfn.XLOOKUP(CoreValuesResults[[#This Row],[Team Number]],OfficialTeamList[Team Number],OfficialTeamList[Team Name],"",0,)</f>
        <v/>
      </c>
      <c r="C11" s="87">
        <f>_xlfn.XLOOKUP(CoreValuesResults[[#This Row],[Team Number]],InnovationProjectResults[Team Number],InnovationProjectResults[Identify - Research (CV)])</f>
        <v>0</v>
      </c>
      <c r="D11" s="87">
        <f>_xlfn.XLOOKUP(CoreValuesResults[[#This Row],[Team Number]],InnovationProjectResults[Team Number],InnovationProjectResults[Design - Teamwork (CV)])</f>
        <v>0</v>
      </c>
      <c r="E11" s="87">
        <f>_xlfn.XLOOKUP(CoreValuesResults[[#This Row],[Team Number]],InnovationProjectResults[Team Number],InnovationProjectResults[Create - Innovation (CV)])</f>
        <v>0</v>
      </c>
      <c r="F11" s="87">
        <f>_xlfn.XLOOKUP(CoreValuesResults[[#This Row],[Team Number]],InnovationProjectResults[Team Number],InnovationProjectResults[Communicate - Impact (CV)])</f>
        <v>0</v>
      </c>
      <c r="G11" s="87">
        <f>_xlfn.XLOOKUP(CoreValuesResults[[#This Row],[Team Number]],InnovationProjectResults[Team Number],InnovationProjectResults[Communicate - Fun (CV)])</f>
        <v>0</v>
      </c>
      <c r="H11" s="87">
        <f>_xlfn.XLOOKUP(CoreValuesResults[[#This Row],[Team Number]],RobotDesignResults[Team Number],RobotDesignResults[Identify - Research (CV)])</f>
        <v>0</v>
      </c>
      <c r="I11" s="87">
        <f>_xlfn.XLOOKUP(CoreValuesResults[[#This Row],[Team Number]],RobotDesignResults[Team Number],RobotDesignResults[Design - Ideas (CV)])</f>
        <v>0</v>
      </c>
      <c r="J11" s="87">
        <f>_xlfn.XLOOKUP(CoreValuesResults[[#This Row],[Team Number]],RobotDesignResults[Team Number],RobotDesignResults[Iterate - Improvements (CV)])</f>
        <v>0</v>
      </c>
      <c r="K11" s="87">
        <f>_xlfn.XLOOKUP(CoreValuesResults[[#This Row],[Team Number]],RobotDesignResults[Team Number],RobotDesignResults[Communicate - Impact (CV)])</f>
        <v>0</v>
      </c>
      <c r="L11" s="87">
        <f>_xlfn.XLOOKUP(CoreValuesResults[[#This Row],[Team Number]],RobotDesignResults[Team Number],RobotDesignResults[Communicate - Fun (CV)])</f>
        <v>0</v>
      </c>
      <c r="M11" s="17"/>
      <c r="N11" s="17"/>
      <c r="O11" s="17"/>
      <c r="P11" s="17"/>
      <c r="Q11" s="17"/>
      <c r="R11" s="12" t="str">
        <f>IF(CoreValuesResults[[#This Row],[Gracious Professionalism 1]]="","",COUNTIF(CoreValuesResults[[#This Row],[Gracious Professionalism 1]:[Gracious Professionalism 5]],""))</f>
        <v/>
      </c>
      <c r="S11" s="12" t="str">
        <f>IF(CoreValuesResults[[#This Row],[Gracious Professionalism 1]]="","",SUM(CoreValuesResults[[#This Row],[Gracious Professionalism 1]:[Gracious Professionalism 5]]))</f>
        <v/>
      </c>
      <c r="T11"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11" s="81">
        <f>SUM(CoreValuesResults[[#This Row],[Discovery (IP)]:[Fun (RD)]],CoreValuesResults[[#This Row],[Gracious Professionalism Score]])</f>
        <v>0</v>
      </c>
      <c r="V11" s="43">
        <f>IF(CoreValuesResults[[#This Row],[Team Number]]&gt;0,MIN(_xlfn.RANK.EQ(CoreValuesResults[[#This Row],[Core Values Score]],CoreValuesResults[Core Values Score],0),NumberOfTeams),NumberOfTeams+1)</f>
        <v>1</v>
      </c>
      <c r="W11" s="82"/>
      <c r="X11" s="82"/>
      <c r="Y11" s="82"/>
    </row>
    <row r="12" spans="1:25" ht="30" customHeight="1" x14ac:dyDescent="0.45">
      <c r="A12" s="12">
        <f>_xlfn.XLOOKUP(11,OfficialTeamList[Row],OfficialTeamList[Team Number],"ERROR",0)</f>
        <v>0</v>
      </c>
      <c r="B12" s="42" t="str">
        <f>_xlfn.XLOOKUP(CoreValuesResults[[#This Row],[Team Number]],OfficialTeamList[Team Number],OfficialTeamList[Team Name],"",0,)</f>
        <v/>
      </c>
      <c r="C12" s="87">
        <f>_xlfn.XLOOKUP(CoreValuesResults[[#This Row],[Team Number]],InnovationProjectResults[Team Number],InnovationProjectResults[Identify - Research (CV)])</f>
        <v>0</v>
      </c>
      <c r="D12" s="87">
        <f>_xlfn.XLOOKUP(CoreValuesResults[[#This Row],[Team Number]],InnovationProjectResults[Team Number],InnovationProjectResults[Design - Teamwork (CV)])</f>
        <v>0</v>
      </c>
      <c r="E12" s="87">
        <f>_xlfn.XLOOKUP(CoreValuesResults[[#This Row],[Team Number]],InnovationProjectResults[Team Number],InnovationProjectResults[Create - Innovation (CV)])</f>
        <v>0</v>
      </c>
      <c r="F12" s="87">
        <f>_xlfn.XLOOKUP(CoreValuesResults[[#This Row],[Team Number]],InnovationProjectResults[Team Number],InnovationProjectResults[Communicate - Impact (CV)])</f>
        <v>0</v>
      </c>
      <c r="G12" s="87">
        <f>_xlfn.XLOOKUP(CoreValuesResults[[#This Row],[Team Number]],InnovationProjectResults[Team Number],InnovationProjectResults[Communicate - Fun (CV)])</f>
        <v>0</v>
      </c>
      <c r="H12" s="87">
        <f>_xlfn.XLOOKUP(CoreValuesResults[[#This Row],[Team Number]],RobotDesignResults[Team Number],RobotDesignResults[Identify - Research (CV)])</f>
        <v>0</v>
      </c>
      <c r="I12" s="87">
        <f>_xlfn.XLOOKUP(CoreValuesResults[[#This Row],[Team Number]],RobotDesignResults[Team Number],RobotDesignResults[Design - Ideas (CV)])</f>
        <v>0</v>
      </c>
      <c r="J12" s="87">
        <f>_xlfn.XLOOKUP(CoreValuesResults[[#This Row],[Team Number]],RobotDesignResults[Team Number],RobotDesignResults[Iterate - Improvements (CV)])</f>
        <v>0</v>
      </c>
      <c r="K12" s="87">
        <f>_xlfn.XLOOKUP(CoreValuesResults[[#This Row],[Team Number]],RobotDesignResults[Team Number],RobotDesignResults[Communicate - Impact (CV)])</f>
        <v>0</v>
      </c>
      <c r="L12" s="87">
        <f>_xlfn.XLOOKUP(CoreValuesResults[[#This Row],[Team Number]],RobotDesignResults[Team Number],RobotDesignResults[Communicate - Fun (CV)])</f>
        <v>0</v>
      </c>
      <c r="M12" s="17"/>
      <c r="N12" s="17"/>
      <c r="O12" s="17"/>
      <c r="P12" s="17"/>
      <c r="Q12" s="17"/>
      <c r="R12" s="12" t="str">
        <f>IF(CoreValuesResults[[#This Row],[Gracious Professionalism 1]]="","",COUNTIF(CoreValuesResults[[#This Row],[Gracious Professionalism 1]:[Gracious Professionalism 5]],""))</f>
        <v/>
      </c>
      <c r="S12" s="12" t="str">
        <f>IF(CoreValuesResults[[#This Row],[Gracious Professionalism 1]]="","",SUM(CoreValuesResults[[#This Row],[Gracious Professionalism 1]:[Gracious Professionalism 5]]))</f>
        <v/>
      </c>
      <c r="T12"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12" s="81">
        <f>SUM(CoreValuesResults[[#This Row],[Discovery (IP)]:[Fun (RD)]],CoreValuesResults[[#This Row],[Gracious Professionalism Score]])</f>
        <v>0</v>
      </c>
      <c r="V12" s="43">
        <f>IF(CoreValuesResults[[#This Row],[Team Number]]&gt;0,MIN(_xlfn.RANK.EQ(CoreValuesResults[[#This Row],[Core Values Score]],CoreValuesResults[Core Values Score],0),NumberOfTeams),NumberOfTeams+1)</f>
        <v>1</v>
      </c>
      <c r="W12" s="82"/>
      <c r="X12" s="82"/>
      <c r="Y12" s="82"/>
    </row>
    <row r="13" spans="1:25" ht="30" customHeight="1" x14ac:dyDescent="0.45">
      <c r="A13" s="12">
        <f>_xlfn.XLOOKUP(12,OfficialTeamList[Row],OfficialTeamList[Team Number],"ERROR",0)</f>
        <v>0</v>
      </c>
      <c r="B13" s="42" t="str">
        <f>_xlfn.XLOOKUP(CoreValuesResults[[#This Row],[Team Number]],OfficialTeamList[Team Number],OfficialTeamList[Team Name],"",0,)</f>
        <v/>
      </c>
      <c r="C13" s="87">
        <f>_xlfn.XLOOKUP(CoreValuesResults[[#This Row],[Team Number]],InnovationProjectResults[Team Number],InnovationProjectResults[Identify - Research (CV)])</f>
        <v>0</v>
      </c>
      <c r="D13" s="87">
        <f>_xlfn.XLOOKUP(CoreValuesResults[[#This Row],[Team Number]],InnovationProjectResults[Team Number],InnovationProjectResults[Design - Teamwork (CV)])</f>
        <v>0</v>
      </c>
      <c r="E13" s="87">
        <f>_xlfn.XLOOKUP(CoreValuesResults[[#This Row],[Team Number]],InnovationProjectResults[Team Number],InnovationProjectResults[Create - Innovation (CV)])</f>
        <v>0</v>
      </c>
      <c r="F13" s="87">
        <f>_xlfn.XLOOKUP(CoreValuesResults[[#This Row],[Team Number]],InnovationProjectResults[Team Number],InnovationProjectResults[Communicate - Impact (CV)])</f>
        <v>0</v>
      </c>
      <c r="G13" s="87">
        <f>_xlfn.XLOOKUP(CoreValuesResults[[#This Row],[Team Number]],InnovationProjectResults[Team Number],InnovationProjectResults[Communicate - Fun (CV)])</f>
        <v>0</v>
      </c>
      <c r="H13" s="87">
        <f>_xlfn.XLOOKUP(CoreValuesResults[[#This Row],[Team Number]],RobotDesignResults[Team Number],RobotDesignResults[Identify - Research (CV)])</f>
        <v>0</v>
      </c>
      <c r="I13" s="87">
        <f>_xlfn.XLOOKUP(CoreValuesResults[[#This Row],[Team Number]],RobotDesignResults[Team Number],RobotDesignResults[Design - Ideas (CV)])</f>
        <v>0</v>
      </c>
      <c r="J13" s="87">
        <f>_xlfn.XLOOKUP(CoreValuesResults[[#This Row],[Team Number]],RobotDesignResults[Team Number],RobotDesignResults[Iterate - Improvements (CV)])</f>
        <v>0</v>
      </c>
      <c r="K13" s="87">
        <f>_xlfn.XLOOKUP(CoreValuesResults[[#This Row],[Team Number]],RobotDesignResults[Team Number],RobotDesignResults[Communicate - Impact (CV)])</f>
        <v>0</v>
      </c>
      <c r="L13" s="87">
        <f>_xlfn.XLOOKUP(CoreValuesResults[[#This Row],[Team Number]],RobotDesignResults[Team Number],RobotDesignResults[Communicate - Fun (CV)])</f>
        <v>0</v>
      </c>
      <c r="M13" s="17"/>
      <c r="N13" s="17"/>
      <c r="O13" s="17"/>
      <c r="P13" s="17"/>
      <c r="Q13" s="17"/>
      <c r="R13" s="12" t="str">
        <f>IF(CoreValuesResults[[#This Row],[Gracious Professionalism 1]]="","",COUNTIF(CoreValuesResults[[#This Row],[Gracious Professionalism 1]:[Gracious Professionalism 5]],""))</f>
        <v/>
      </c>
      <c r="S13" s="12" t="str">
        <f>IF(CoreValuesResults[[#This Row],[Gracious Professionalism 1]]="","",SUM(CoreValuesResults[[#This Row],[Gracious Professionalism 1]:[Gracious Professionalism 5]]))</f>
        <v/>
      </c>
      <c r="T13"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13" s="81">
        <f>SUM(CoreValuesResults[[#This Row],[Discovery (IP)]:[Fun (RD)]],CoreValuesResults[[#This Row],[Gracious Professionalism Score]])</f>
        <v>0</v>
      </c>
      <c r="V13" s="43">
        <f>IF(CoreValuesResults[[#This Row],[Team Number]]&gt;0,MIN(_xlfn.RANK.EQ(CoreValuesResults[[#This Row],[Core Values Score]],CoreValuesResults[Core Values Score],0),NumberOfTeams),NumberOfTeams+1)</f>
        <v>1</v>
      </c>
      <c r="W13" s="82"/>
      <c r="X13" s="82"/>
      <c r="Y13" s="82"/>
    </row>
    <row r="14" spans="1:25" ht="30" customHeight="1" x14ac:dyDescent="0.45">
      <c r="A14" s="12">
        <f>_xlfn.XLOOKUP(13,OfficialTeamList[Row],OfficialTeamList[Team Number],"ERROR",0)</f>
        <v>0</v>
      </c>
      <c r="B14" s="42" t="str">
        <f>_xlfn.XLOOKUP(CoreValuesResults[[#This Row],[Team Number]],OfficialTeamList[Team Number],OfficialTeamList[Team Name],"",0,)</f>
        <v/>
      </c>
      <c r="C14" s="87">
        <f>_xlfn.XLOOKUP(CoreValuesResults[[#This Row],[Team Number]],InnovationProjectResults[Team Number],InnovationProjectResults[Identify - Research (CV)])</f>
        <v>0</v>
      </c>
      <c r="D14" s="87">
        <f>_xlfn.XLOOKUP(CoreValuesResults[[#This Row],[Team Number]],InnovationProjectResults[Team Number],InnovationProjectResults[Design - Teamwork (CV)])</f>
        <v>0</v>
      </c>
      <c r="E14" s="87">
        <f>_xlfn.XLOOKUP(CoreValuesResults[[#This Row],[Team Number]],InnovationProjectResults[Team Number],InnovationProjectResults[Create - Innovation (CV)])</f>
        <v>0</v>
      </c>
      <c r="F14" s="87">
        <f>_xlfn.XLOOKUP(CoreValuesResults[[#This Row],[Team Number]],InnovationProjectResults[Team Number],InnovationProjectResults[Communicate - Impact (CV)])</f>
        <v>0</v>
      </c>
      <c r="G14" s="87">
        <f>_xlfn.XLOOKUP(CoreValuesResults[[#This Row],[Team Number]],InnovationProjectResults[Team Number],InnovationProjectResults[Communicate - Fun (CV)])</f>
        <v>0</v>
      </c>
      <c r="H14" s="87">
        <f>_xlfn.XLOOKUP(CoreValuesResults[[#This Row],[Team Number]],RobotDesignResults[Team Number],RobotDesignResults[Identify - Research (CV)])</f>
        <v>0</v>
      </c>
      <c r="I14" s="87">
        <f>_xlfn.XLOOKUP(CoreValuesResults[[#This Row],[Team Number]],RobotDesignResults[Team Number],RobotDesignResults[Design - Ideas (CV)])</f>
        <v>0</v>
      </c>
      <c r="J14" s="87">
        <f>_xlfn.XLOOKUP(CoreValuesResults[[#This Row],[Team Number]],RobotDesignResults[Team Number],RobotDesignResults[Iterate - Improvements (CV)])</f>
        <v>0</v>
      </c>
      <c r="K14" s="87">
        <f>_xlfn.XLOOKUP(CoreValuesResults[[#This Row],[Team Number]],RobotDesignResults[Team Number],RobotDesignResults[Communicate - Impact (CV)])</f>
        <v>0</v>
      </c>
      <c r="L14" s="87">
        <f>_xlfn.XLOOKUP(CoreValuesResults[[#This Row],[Team Number]],RobotDesignResults[Team Number],RobotDesignResults[Communicate - Fun (CV)])</f>
        <v>0</v>
      </c>
      <c r="M14" s="17"/>
      <c r="N14" s="17"/>
      <c r="O14" s="17"/>
      <c r="P14" s="17"/>
      <c r="Q14" s="17"/>
      <c r="R14" s="12" t="str">
        <f>IF(CoreValuesResults[[#This Row],[Gracious Professionalism 1]]="","",COUNTIF(CoreValuesResults[[#This Row],[Gracious Professionalism 1]:[Gracious Professionalism 5]],""))</f>
        <v/>
      </c>
      <c r="S14" s="12" t="str">
        <f>IF(CoreValuesResults[[#This Row],[Gracious Professionalism 1]]="","",SUM(CoreValuesResults[[#This Row],[Gracious Professionalism 1]:[Gracious Professionalism 5]]))</f>
        <v/>
      </c>
      <c r="T14"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14" s="81">
        <f>SUM(CoreValuesResults[[#This Row],[Discovery (IP)]:[Fun (RD)]],CoreValuesResults[[#This Row],[Gracious Professionalism Score]])</f>
        <v>0</v>
      </c>
      <c r="V14" s="43">
        <f>IF(CoreValuesResults[[#This Row],[Team Number]]&gt;0,MIN(_xlfn.RANK.EQ(CoreValuesResults[[#This Row],[Core Values Score]],CoreValuesResults[Core Values Score],0),NumberOfTeams),NumberOfTeams+1)</f>
        <v>1</v>
      </c>
      <c r="W14" s="82"/>
      <c r="X14" s="82"/>
      <c r="Y14" s="82"/>
    </row>
    <row r="15" spans="1:25" ht="30" customHeight="1" x14ac:dyDescent="0.45">
      <c r="A15" s="12">
        <f>_xlfn.XLOOKUP(14,OfficialTeamList[Row],OfficialTeamList[Team Number],"ERROR",0)</f>
        <v>0</v>
      </c>
      <c r="B15" s="42" t="str">
        <f>_xlfn.XLOOKUP(CoreValuesResults[[#This Row],[Team Number]],OfficialTeamList[Team Number],OfficialTeamList[Team Name],"",0,)</f>
        <v/>
      </c>
      <c r="C15" s="87">
        <f>_xlfn.XLOOKUP(CoreValuesResults[[#This Row],[Team Number]],InnovationProjectResults[Team Number],InnovationProjectResults[Identify - Research (CV)])</f>
        <v>0</v>
      </c>
      <c r="D15" s="87">
        <f>_xlfn.XLOOKUP(CoreValuesResults[[#This Row],[Team Number]],InnovationProjectResults[Team Number],InnovationProjectResults[Design - Teamwork (CV)])</f>
        <v>0</v>
      </c>
      <c r="E15" s="87">
        <f>_xlfn.XLOOKUP(CoreValuesResults[[#This Row],[Team Number]],InnovationProjectResults[Team Number],InnovationProjectResults[Create - Innovation (CV)])</f>
        <v>0</v>
      </c>
      <c r="F15" s="87">
        <f>_xlfn.XLOOKUP(CoreValuesResults[[#This Row],[Team Number]],InnovationProjectResults[Team Number],InnovationProjectResults[Communicate - Impact (CV)])</f>
        <v>0</v>
      </c>
      <c r="G15" s="87">
        <f>_xlfn.XLOOKUP(CoreValuesResults[[#This Row],[Team Number]],InnovationProjectResults[Team Number],InnovationProjectResults[Communicate - Fun (CV)])</f>
        <v>0</v>
      </c>
      <c r="H15" s="87">
        <f>_xlfn.XLOOKUP(CoreValuesResults[[#This Row],[Team Number]],RobotDesignResults[Team Number],RobotDesignResults[Identify - Research (CV)])</f>
        <v>0</v>
      </c>
      <c r="I15" s="87">
        <f>_xlfn.XLOOKUP(CoreValuesResults[[#This Row],[Team Number]],RobotDesignResults[Team Number],RobotDesignResults[Design - Ideas (CV)])</f>
        <v>0</v>
      </c>
      <c r="J15" s="87">
        <f>_xlfn.XLOOKUP(CoreValuesResults[[#This Row],[Team Number]],RobotDesignResults[Team Number],RobotDesignResults[Iterate - Improvements (CV)])</f>
        <v>0</v>
      </c>
      <c r="K15" s="87">
        <f>_xlfn.XLOOKUP(CoreValuesResults[[#This Row],[Team Number]],RobotDesignResults[Team Number],RobotDesignResults[Communicate - Impact (CV)])</f>
        <v>0</v>
      </c>
      <c r="L15" s="87">
        <f>_xlfn.XLOOKUP(CoreValuesResults[[#This Row],[Team Number]],RobotDesignResults[Team Number],RobotDesignResults[Communicate - Fun (CV)])</f>
        <v>0</v>
      </c>
      <c r="M15" s="17"/>
      <c r="N15" s="17"/>
      <c r="O15" s="17"/>
      <c r="P15" s="17"/>
      <c r="Q15" s="17"/>
      <c r="R15" s="12" t="str">
        <f>IF(CoreValuesResults[[#This Row],[Gracious Professionalism 1]]="","",COUNTIF(CoreValuesResults[[#This Row],[Gracious Professionalism 1]:[Gracious Professionalism 5]],""))</f>
        <v/>
      </c>
      <c r="S15" s="12" t="str">
        <f>IF(CoreValuesResults[[#This Row],[Gracious Professionalism 1]]="","",SUM(CoreValuesResults[[#This Row],[Gracious Professionalism 1]:[Gracious Professionalism 5]]))</f>
        <v/>
      </c>
      <c r="T15"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15" s="81">
        <f>SUM(CoreValuesResults[[#This Row],[Discovery (IP)]:[Fun (RD)]],CoreValuesResults[[#This Row],[Gracious Professionalism Score]])</f>
        <v>0</v>
      </c>
      <c r="V15" s="43">
        <f>IF(CoreValuesResults[[#This Row],[Team Number]]&gt;0,MIN(_xlfn.RANK.EQ(CoreValuesResults[[#This Row],[Core Values Score]],CoreValuesResults[Core Values Score],0),NumberOfTeams),NumberOfTeams+1)</f>
        <v>1</v>
      </c>
      <c r="W15" s="82"/>
      <c r="X15" s="82"/>
      <c r="Y15" s="82"/>
    </row>
    <row r="16" spans="1:25" ht="30" customHeight="1" x14ac:dyDescent="0.45">
      <c r="A16" s="12">
        <f>_xlfn.XLOOKUP(15,OfficialTeamList[Row],OfficialTeamList[Team Number],"ERROR",0)</f>
        <v>0</v>
      </c>
      <c r="B16" s="42" t="str">
        <f>_xlfn.XLOOKUP(CoreValuesResults[[#This Row],[Team Number]],OfficialTeamList[Team Number],OfficialTeamList[Team Name],"",0,)</f>
        <v/>
      </c>
      <c r="C16" s="87">
        <f>_xlfn.XLOOKUP(CoreValuesResults[[#This Row],[Team Number]],InnovationProjectResults[Team Number],InnovationProjectResults[Identify - Research (CV)])</f>
        <v>0</v>
      </c>
      <c r="D16" s="87">
        <f>_xlfn.XLOOKUP(CoreValuesResults[[#This Row],[Team Number]],InnovationProjectResults[Team Number],InnovationProjectResults[Design - Teamwork (CV)])</f>
        <v>0</v>
      </c>
      <c r="E16" s="87">
        <f>_xlfn.XLOOKUP(CoreValuesResults[[#This Row],[Team Number]],InnovationProjectResults[Team Number],InnovationProjectResults[Create - Innovation (CV)])</f>
        <v>0</v>
      </c>
      <c r="F16" s="87">
        <f>_xlfn.XLOOKUP(CoreValuesResults[[#This Row],[Team Number]],InnovationProjectResults[Team Number],InnovationProjectResults[Communicate - Impact (CV)])</f>
        <v>0</v>
      </c>
      <c r="G16" s="87">
        <f>_xlfn.XLOOKUP(CoreValuesResults[[#This Row],[Team Number]],InnovationProjectResults[Team Number],InnovationProjectResults[Communicate - Fun (CV)])</f>
        <v>0</v>
      </c>
      <c r="H16" s="87">
        <f>_xlfn.XLOOKUP(CoreValuesResults[[#This Row],[Team Number]],RobotDesignResults[Team Number],RobotDesignResults[Identify - Research (CV)])</f>
        <v>0</v>
      </c>
      <c r="I16" s="87">
        <f>_xlfn.XLOOKUP(CoreValuesResults[[#This Row],[Team Number]],RobotDesignResults[Team Number],RobotDesignResults[Design - Ideas (CV)])</f>
        <v>0</v>
      </c>
      <c r="J16" s="87">
        <f>_xlfn.XLOOKUP(CoreValuesResults[[#This Row],[Team Number]],RobotDesignResults[Team Number],RobotDesignResults[Iterate - Improvements (CV)])</f>
        <v>0</v>
      </c>
      <c r="K16" s="87">
        <f>_xlfn.XLOOKUP(CoreValuesResults[[#This Row],[Team Number]],RobotDesignResults[Team Number],RobotDesignResults[Communicate - Impact (CV)])</f>
        <v>0</v>
      </c>
      <c r="L16" s="87">
        <f>_xlfn.XLOOKUP(CoreValuesResults[[#This Row],[Team Number]],RobotDesignResults[Team Number],RobotDesignResults[Communicate - Fun (CV)])</f>
        <v>0</v>
      </c>
      <c r="M16" s="17"/>
      <c r="N16" s="17"/>
      <c r="O16" s="17"/>
      <c r="P16" s="17"/>
      <c r="Q16" s="17"/>
      <c r="R16" s="12" t="str">
        <f>IF(CoreValuesResults[[#This Row],[Gracious Professionalism 1]]="","",COUNTIF(CoreValuesResults[[#This Row],[Gracious Professionalism 1]:[Gracious Professionalism 5]],""))</f>
        <v/>
      </c>
      <c r="S16" s="12" t="str">
        <f>IF(CoreValuesResults[[#This Row],[Gracious Professionalism 1]]="","",SUM(CoreValuesResults[[#This Row],[Gracious Professionalism 1]:[Gracious Professionalism 5]]))</f>
        <v/>
      </c>
      <c r="T16"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16" s="81">
        <f>SUM(CoreValuesResults[[#This Row],[Discovery (IP)]:[Fun (RD)]],CoreValuesResults[[#This Row],[Gracious Professionalism Score]])</f>
        <v>0</v>
      </c>
      <c r="V16" s="43">
        <f>IF(CoreValuesResults[[#This Row],[Team Number]]&gt;0,MIN(_xlfn.RANK.EQ(CoreValuesResults[[#This Row],[Core Values Score]],CoreValuesResults[Core Values Score],0),NumberOfTeams),NumberOfTeams+1)</f>
        <v>1</v>
      </c>
      <c r="W16" s="82"/>
      <c r="X16" s="82"/>
      <c r="Y16" s="82"/>
    </row>
    <row r="17" spans="1:25" ht="30" customHeight="1" x14ac:dyDescent="0.45">
      <c r="A17" s="12">
        <f>_xlfn.XLOOKUP(16,OfficialTeamList[Row],OfficialTeamList[Team Number],"ERROR",0)</f>
        <v>0</v>
      </c>
      <c r="B17" s="42" t="str">
        <f>_xlfn.XLOOKUP(CoreValuesResults[[#This Row],[Team Number]],OfficialTeamList[Team Number],OfficialTeamList[Team Name],"",0,)</f>
        <v/>
      </c>
      <c r="C17" s="87">
        <f>_xlfn.XLOOKUP(CoreValuesResults[[#This Row],[Team Number]],InnovationProjectResults[Team Number],InnovationProjectResults[Identify - Research (CV)])</f>
        <v>0</v>
      </c>
      <c r="D17" s="87">
        <f>_xlfn.XLOOKUP(CoreValuesResults[[#This Row],[Team Number]],InnovationProjectResults[Team Number],InnovationProjectResults[Design - Teamwork (CV)])</f>
        <v>0</v>
      </c>
      <c r="E17" s="87">
        <f>_xlfn.XLOOKUP(CoreValuesResults[[#This Row],[Team Number]],InnovationProjectResults[Team Number],InnovationProjectResults[Create - Innovation (CV)])</f>
        <v>0</v>
      </c>
      <c r="F17" s="87">
        <f>_xlfn.XLOOKUP(CoreValuesResults[[#This Row],[Team Number]],InnovationProjectResults[Team Number],InnovationProjectResults[Communicate - Impact (CV)])</f>
        <v>0</v>
      </c>
      <c r="G17" s="87">
        <f>_xlfn.XLOOKUP(CoreValuesResults[[#This Row],[Team Number]],InnovationProjectResults[Team Number],InnovationProjectResults[Communicate - Fun (CV)])</f>
        <v>0</v>
      </c>
      <c r="H17" s="87">
        <f>_xlfn.XLOOKUP(CoreValuesResults[[#This Row],[Team Number]],RobotDesignResults[Team Number],RobotDesignResults[Identify - Research (CV)])</f>
        <v>0</v>
      </c>
      <c r="I17" s="87">
        <f>_xlfn.XLOOKUP(CoreValuesResults[[#This Row],[Team Number]],RobotDesignResults[Team Number],RobotDesignResults[Design - Ideas (CV)])</f>
        <v>0</v>
      </c>
      <c r="J17" s="87">
        <f>_xlfn.XLOOKUP(CoreValuesResults[[#This Row],[Team Number]],RobotDesignResults[Team Number],RobotDesignResults[Iterate - Improvements (CV)])</f>
        <v>0</v>
      </c>
      <c r="K17" s="87">
        <f>_xlfn.XLOOKUP(CoreValuesResults[[#This Row],[Team Number]],RobotDesignResults[Team Number],RobotDesignResults[Communicate - Impact (CV)])</f>
        <v>0</v>
      </c>
      <c r="L17" s="87">
        <f>_xlfn.XLOOKUP(CoreValuesResults[[#This Row],[Team Number]],RobotDesignResults[Team Number],RobotDesignResults[Communicate - Fun (CV)])</f>
        <v>0</v>
      </c>
      <c r="M17" s="17"/>
      <c r="N17" s="17"/>
      <c r="O17" s="17"/>
      <c r="P17" s="17"/>
      <c r="Q17" s="17"/>
      <c r="R17" s="12" t="str">
        <f>IF(CoreValuesResults[[#This Row],[Gracious Professionalism 1]]="","",COUNTIF(CoreValuesResults[[#This Row],[Gracious Professionalism 1]:[Gracious Professionalism 5]],""))</f>
        <v/>
      </c>
      <c r="S17" s="12" t="str">
        <f>IF(CoreValuesResults[[#This Row],[Gracious Professionalism 1]]="","",SUM(CoreValuesResults[[#This Row],[Gracious Professionalism 1]:[Gracious Professionalism 5]]))</f>
        <v/>
      </c>
      <c r="T17"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17" s="81">
        <f>SUM(CoreValuesResults[[#This Row],[Discovery (IP)]:[Fun (RD)]],CoreValuesResults[[#This Row],[Gracious Professionalism Score]])</f>
        <v>0</v>
      </c>
      <c r="V17" s="43">
        <f>IF(CoreValuesResults[[#This Row],[Team Number]]&gt;0,MIN(_xlfn.RANK.EQ(CoreValuesResults[[#This Row],[Core Values Score]],CoreValuesResults[Core Values Score],0),NumberOfTeams),NumberOfTeams+1)</f>
        <v>1</v>
      </c>
      <c r="W17" s="82"/>
      <c r="X17" s="82"/>
      <c r="Y17" s="82"/>
    </row>
    <row r="18" spans="1:25" ht="30" customHeight="1" x14ac:dyDescent="0.45">
      <c r="A18" s="12">
        <f>_xlfn.XLOOKUP(17,OfficialTeamList[Row],OfficialTeamList[Team Number],"ERROR",0)</f>
        <v>0</v>
      </c>
      <c r="B18" s="42" t="str">
        <f>_xlfn.XLOOKUP(CoreValuesResults[[#This Row],[Team Number]],OfficialTeamList[Team Number],OfficialTeamList[Team Name],"",0,)</f>
        <v/>
      </c>
      <c r="C18" s="87">
        <f>_xlfn.XLOOKUP(CoreValuesResults[[#This Row],[Team Number]],InnovationProjectResults[Team Number],InnovationProjectResults[Identify - Research (CV)])</f>
        <v>0</v>
      </c>
      <c r="D18" s="87">
        <f>_xlfn.XLOOKUP(CoreValuesResults[[#This Row],[Team Number]],InnovationProjectResults[Team Number],InnovationProjectResults[Design - Teamwork (CV)])</f>
        <v>0</v>
      </c>
      <c r="E18" s="87">
        <f>_xlfn.XLOOKUP(CoreValuesResults[[#This Row],[Team Number]],InnovationProjectResults[Team Number],InnovationProjectResults[Create - Innovation (CV)])</f>
        <v>0</v>
      </c>
      <c r="F18" s="87">
        <f>_xlfn.XLOOKUP(CoreValuesResults[[#This Row],[Team Number]],InnovationProjectResults[Team Number],InnovationProjectResults[Communicate - Impact (CV)])</f>
        <v>0</v>
      </c>
      <c r="G18" s="87">
        <f>_xlfn.XLOOKUP(CoreValuesResults[[#This Row],[Team Number]],InnovationProjectResults[Team Number],InnovationProjectResults[Communicate - Fun (CV)])</f>
        <v>0</v>
      </c>
      <c r="H18" s="87">
        <f>_xlfn.XLOOKUP(CoreValuesResults[[#This Row],[Team Number]],RobotDesignResults[Team Number],RobotDesignResults[Identify - Research (CV)])</f>
        <v>0</v>
      </c>
      <c r="I18" s="87">
        <f>_xlfn.XLOOKUP(CoreValuesResults[[#This Row],[Team Number]],RobotDesignResults[Team Number],RobotDesignResults[Design - Ideas (CV)])</f>
        <v>0</v>
      </c>
      <c r="J18" s="87">
        <f>_xlfn.XLOOKUP(CoreValuesResults[[#This Row],[Team Number]],RobotDesignResults[Team Number],RobotDesignResults[Iterate - Improvements (CV)])</f>
        <v>0</v>
      </c>
      <c r="K18" s="87">
        <f>_xlfn.XLOOKUP(CoreValuesResults[[#This Row],[Team Number]],RobotDesignResults[Team Number],RobotDesignResults[Communicate - Impact (CV)])</f>
        <v>0</v>
      </c>
      <c r="L18" s="87">
        <f>_xlfn.XLOOKUP(CoreValuesResults[[#This Row],[Team Number]],RobotDesignResults[Team Number],RobotDesignResults[Communicate - Fun (CV)])</f>
        <v>0</v>
      </c>
      <c r="M18" s="17"/>
      <c r="N18" s="17"/>
      <c r="O18" s="17"/>
      <c r="P18" s="17"/>
      <c r="Q18" s="17"/>
      <c r="R18" s="12" t="str">
        <f>IF(CoreValuesResults[[#This Row],[Gracious Professionalism 1]]="","",COUNTIF(CoreValuesResults[[#This Row],[Gracious Professionalism 1]:[Gracious Professionalism 5]],""))</f>
        <v/>
      </c>
      <c r="S18" s="12" t="str">
        <f>IF(CoreValuesResults[[#This Row],[Gracious Professionalism 1]]="","",SUM(CoreValuesResults[[#This Row],[Gracious Professionalism 1]:[Gracious Professionalism 5]]))</f>
        <v/>
      </c>
      <c r="T18"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18" s="81">
        <f>SUM(CoreValuesResults[[#This Row],[Discovery (IP)]:[Fun (RD)]],CoreValuesResults[[#This Row],[Gracious Professionalism Score]])</f>
        <v>0</v>
      </c>
      <c r="V18" s="43">
        <f>IF(CoreValuesResults[[#This Row],[Team Number]]&gt;0,MIN(_xlfn.RANK.EQ(CoreValuesResults[[#This Row],[Core Values Score]],CoreValuesResults[Core Values Score],0),NumberOfTeams),NumberOfTeams+1)</f>
        <v>1</v>
      </c>
      <c r="W18" s="82"/>
      <c r="X18" s="82"/>
      <c r="Y18" s="82"/>
    </row>
    <row r="19" spans="1:25" ht="30" customHeight="1" x14ac:dyDescent="0.45">
      <c r="A19" s="12">
        <f>_xlfn.XLOOKUP(18,OfficialTeamList[Row],OfficialTeamList[Team Number],"ERROR",0)</f>
        <v>0</v>
      </c>
      <c r="B19" s="42" t="str">
        <f>_xlfn.XLOOKUP(CoreValuesResults[[#This Row],[Team Number]],OfficialTeamList[Team Number],OfficialTeamList[Team Name],"",0,)</f>
        <v/>
      </c>
      <c r="C19" s="87">
        <f>_xlfn.XLOOKUP(CoreValuesResults[[#This Row],[Team Number]],InnovationProjectResults[Team Number],InnovationProjectResults[Identify - Research (CV)])</f>
        <v>0</v>
      </c>
      <c r="D19" s="87">
        <f>_xlfn.XLOOKUP(CoreValuesResults[[#This Row],[Team Number]],InnovationProjectResults[Team Number],InnovationProjectResults[Design - Teamwork (CV)])</f>
        <v>0</v>
      </c>
      <c r="E19" s="87">
        <f>_xlfn.XLOOKUP(CoreValuesResults[[#This Row],[Team Number]],InnovationProjectResults[Team Number],InnovationProjectResults[Create - Innovation (CV)])</f>
        <v>0</v>
      </c>
      <c r="F19" s="87">
        <f>_xlfn.XLOOKUP(CoreValuesResults[[#This Row],[Team Number]],InnovationProjectResults[Team Number],InnovationProjectResults[Communicate - Impact (CV)])</f>
        <v>0</v>
      </c>
      <c r="G19" s="87">
        <f>_xlfn.XLOOKUP(CoreValuesResults[[#This Row],[Team Number]],InnovationProjectResults[Team Number],InnovationProjectResults[Communicate - Fun (CV)])</f>
        <v>0</v>
      </c>
      <c r="H19" s="87">
        <f>_xlfn.XLOOKUP(CoreValuesResults[[#This Row],[Team Number]],RobotDesignResults[Team Number],RobotDesignResults[Identify - Research (CV)])</f>
        <v>0</v>
      </c>
      <c r="I19" s="87">
        <f>_xlfn.XLOOKUP(CoreValuesResults[[#This Row],[Team Number]],RobotDesignResults[Team Number],RobotDesignResults[Design - Ideas (CV)])</f>
        <v>0</v>
      </c>
      <c r="J19" s="87">
        <f>_xlfn.XLOOKUP(CoreValuesResults[[#This Row],[Team Number]],RobotDesignResults[Team Number],RobotDesignResults[Iterate - Improvements (CV)])</f>
        <v>0</v>
      </c>
      <c r="K19" s="87">
        <f>_xlfn.XLOOKUP(CoreValuesResults[[#This Row],[Team Number]],RobotDesignResults[Team Number],RobotDesignResults[Communicate - Impact (CV)])</f>
        <v>0</v>
      </c>
      <c r="L19" s="87">
        <f>_xlfn.XLOOKUP(CoreValuesResults[[#This Row],[Team Number]],RobotDesignResults[Team Number],RobotDesignResults[Communicate - Fun (CV)])</f>
        <v>0</v>
      </c>
      <c r="M19" s="17"/>
      <c r="N19" s="17"/>
      <c r="O19" s="17"/>
      <c r="P19" s="17"/>
      <c r="Q19" s="17"/>
      <c r="R19" s="12" t="str">
        <f>IF(CoreValuesResults[[#This Row],[Gracious Professionalism 1]]="","",COUNTIF(CoreValuesResults[[#This Row],[Gracious Professionalism 1]:[Gracious Professionalism 5]],""))</f>
        <v/>
      </c>
      <c r="S19" s="12" t="str">
        <f>IF(CoreValuesResults[[#This Row],[Gracious Professionalism 1]]="","",SUM(CoreValuesResults[[#This Row],[Gracious Professionalism 1]:[Gracious Professionalism 5]]))</f>
        <v/>
      </c>
      <c r="T19"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19" s="81">
        <f>SUM(CoreValuesResults[[#This Row],[Discovery (IP)]:[Fun (RD)]],CoreValuesResults[[#This Row],[Gracious Professionalism Score]])</f>
        <v>0</v>
      </c>
      <c r="V19" s="43">
        <f>IF(CoreValuesResults[[#This Row],[Team Number]]&gt;0,MIN(_xlfn.RANK.EQ(CoreValuesResults[[#This Row],[Core Values Score]],CoreValuesResults[Core Values Score],0),NumberOfTeams),NumberOfTeams+1)</f>
        <v>1</v>
      </c>
      <c r="W19" s="82"/>
      <c r="X19" s="82"/>
      <c r="Y19" s="82"/>
    </row>
    <row r="20" spans="1:25" ht="30" customHeight="1" x14ac:dyDescent="0.45">
      <c r="A20" s="12">
        <f>_xlfn.XLOOKUP(19,OfficialTeamList[Row],OfficialTeamList[Team Number],"ERROR",0)</f>
        <v>0</v>
      </c>
      <c r="B20" s="42" t="str">
        <f>_xlfn.XLOOKUP(CoreValuesResults[[#This Row],[Team Number]],OfficialTeamList[Team Number],OfficialTeamList[Team Name],"",0,)</f>
        <v/>
      </c>
      <c r="C20" s="87">
        <f>_xlfn.XLOOKUP(CoreValuesResults[[#This Row],[Team Number]],InnovationProjectResults[Team Number],InnovationProjectResults[Identify - Research (CV)])</f>
        <v>0</v>
      </c>
      <c r="D20" s="87">
        <f>_xlfn.XLOOKUP(CoreValuesResults[[#This Row],[Team Number]],InnovationProjectResults[Team Number],InnovationProjectResults[Design - Teamwork (CV)])</f>
        <v>0</v>
      </c>
      <c r="E20" s="87">
        <f>_xlfn.XLOOKUP(CoreValuesResults[[#This Row],[Team Number]],InnovationProjectResults[Team Number],InnovationProjectResults[Create - Innovation (CV)])</f>
        <v>0</v>
      </c>
      <c r="F20" s="87">
        <f>_xlfn.XLOOKUP(CoreValuesResults[[#This Row],[Team Number]],InnovationProjectResults[Team Number],InnovationProjectResults[Communicate - Impact (CV)])</f>
        <v>0</v>
      </c>
      <c r="G20" s="87">
        <f>_xlfn.XLOOKUP(CoreValuesResults[[#This Row],[Team Number]],InnovationProjectResults[Team Number],InnovationProjectResults[Communicate - Fun (CV)])</f>
        <v>0</v>
      </c>
      <c r="H20" s="87">
        <f>_xlfn.XLOOKUP(CoreValuesResults[[#This Row],[Team Number]],RobotDesignResults[Team Number],RobotDesignResults[Identify - Research (CV)])</f>
        <v>0</v>
      </c>
      <c r="I20" s="87">
        <f>_xlfn.XLOOKUP(CoreValuesResults[[#This Row],[Team Number]],RobotDesignResults[Team Number],RobotDesignResults[Design - Ideas (CV)])</f>
        <v>0</v>
      </c>
      <c r="J20" s="87">
        <f>_xlfn.XLOOKUP(CoreValuesResults[[#This Row],[Team Number]],RobotDesignResults[Team Number],RobotDesignResults[Iterate - Improvements (CV)])</f>
        <v>0</v>
      </c>
      <c r="K20" s="87">
        <f>_xlfn.XLOOKUP(CoreValuesResults[[#This Row],[Team Number]],RobotDesignResults[Team Number],RobotDesignResults[Communicate - Impact (CV)])</f>
        <v>0</v>
      </c>
      <c r="L20" s="87">
        <f>_xlfn.XLOOKUP(CoreValuesResults[[#This Row],[Team Number]],RobotDesignResults[Team Number],RobotDesignResults[Communicate - Fun (CV)])</f>
        <v>0</v>
      </c>
      <c r="M20" s="17"/>
      <c r="N20" s="17"/>
      <c r="O20" s="17"/>
      <c r="P20" s="17"/>
      <c r="Q20" s="17"/>
      <c r="R20" s="12" t="str">
        <f>IF(CoreValuesResults[[#This Row],[Gracious Professionalism 1]]="","",COUNTIF(CoreValuesResults[[#This Row],[Gracious Professionalism 1]:[Gracious Professionalism 5]],""))</f>
        <v/>
      </c>
      <c r="S20" s="12" t="str">
        <f>IF(CoreValuesResults[[#This Row],[Gracious Professionalism 1]]="","",SUM(CoreValuesResults[[#This Row],[Gracious Professionalism 1]:[Gracious Professionalism 5]]))</f>
        <v/>
      </c>
      <c r="T20"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20" s="81">
        <f>SUM(CoreValuesResults[[#This Row],[Discovery (IP)]:[Fun (RD)]],CoreValuesResults[[#This Row],[Gracious Professionalism Score]])</f>
        <v>0</v>
      </c>
      <c r="V20" s="43">
        <f>IF(CoreValuesResults[[#This Row],[Team Number]]&gt;0,MIN(_xlfn.RANK.EQ(CoreValuesResults[[#This Row],[Core Values Score]],CoreValuesResults[Core Values Score],0),NumberOfTeams),NumberOfTeams+1)</f>
        <v>1</v>
      </c>
      <c r="W20" s="82"/>
      <c r="X20" s="82"/>
      <c r="Y20" s="82"/>
    </row>
    <row r="21" spans="1:25" ht="30" customHeight="1" x14ac:dyDescent="0.45">
      <c r="A21" s="12">
        <f>_xlfn.XLOOKUP(20,OfficialTeamList[Row],OfficialTeamList[Team Number],"ERROR",0)</f>
        <v>0</v>
      </c>
      <c r="B21" s="42" t="str">
        <f>_xlfn.XLOOKUP(CoreValuesResults[[#This Row],[Team Number]],OfficialTeamList[Team Number],OfficialTeamList[Team Name],"",0,)</f>
        <v/>
      </c>
      <c r="C21" s="87">
        <f>_xlfn.XLOOKUP(CoreValuesResults[[#This Row],[Team Number]],InnovationProjectResults[Team Number],InnovationProjectResults[Identify - Research (CV)])</f>
        <v>0</v>
      </c>
      <c r="D21" s="87">
        <f>_xlfn.XLOOKUP(CoreValuesResults[[#This Row],[Team Number]],InnovationProjectResults[Team Number],InnovationProjectResults[Design - Teamwork (CV)])</f>
        <v>0</v>
      </c>
      <c r="E21" s="87">
        <f>_xlfn.XLOOKUP(CoreValuesResults[[#This Row],[Team Number]],InnovationProjectResults[Team Number],InnovationProjectResults[Create - Innovation (CV)])</f>
        <v>0</v>
      </c>
      <c r="F21" s="87">
        <f>_xlfn.XLOOKUP(CoreValuesResults[[#This Row],[Team Number]],InnovationProjectResults[Team Number],InnovationProjectResults[Communicate - Impact (CV)])</f>
        <v>0</v>
      </c>
      <c r="G21" s="87">
        <f>_xlfn.XLOOKUP(CoreValuesResults[[#This Row],[Team Number]],InnovationProjectResults[Team Number],InnovationProjectResults[Communicate - Fun (CV)])</f>
        <v>0</v>
      </c>
      <c r="H21" s="87">
        <f>_xlfn.XLOOKUP(CoreValuesResults[[#This Row],[Team Number]],RobotDesignResults[Team Number],RobotDesignResults[Identify - Research (CV)])</f>
        <v>0</v>
      </c>
      <c r="I21" s="87">
        <f>_xlfn.XLOOKUP(CoreValuesResults[[#This Row],[Team Number]],RobotDesignResults[Team Number],RobotDesignResults[Design - Ideas (CV)])</f>
        <v>0</v>
      </c>
      <c r="J21" s="87">
        <f>_xlfn.XLOOKUP(CoreValuesResults[[#This Row],[Team Number]],RobotDesignResults[Team Number],RobotDesignResults[Iterate - Improvements (CV)])</f>
        <v>0</v>
      </c>
      <c r="K21" s="87">
        <f>_xlfn.XLOOKUP(CoreValuesResults[[#This Row],[Team Number]],RobotDesignResults[Team Number],RobotDesignResults[Communicate - Impact (CV)])</f>
        <v>0</v>
      </c>
      <c r="L21" s="87">
        <f>_xlfn.XLOOKUP(CoreValuesResults[[#This Row],[Team Number]],RobotDesignResults[Team Number],RobotDesignResults[Communicate - Fun (CV)])</f>
        <v>0</v>
      </c>
      <c r="M21" s="17"/>
      <c r="N21" s="17"/>
      <c r="O21" s="17"/>
      <c r="P21" s="17"/>
      <c r="Q21" s="17"/>
      <c r="R21" s="12" t="str">
        <f>IF(CoreValuesResults[[#This Row],[Gracious Professionalism 1]]="","",COUNTIF(CoreValuesResults[[#This Row],[Gracious Professionalism 1]:[Gracious Professionalism 5]],""))</f>
        <v/>
      </c>
      <c r="S21" s="12" t="str">
        <f>IF(CoreValuesResults[[#This Row],[Gracious Professionalism 1]]="","",SUM(CoreValuesResults[[#This Row],[Gracious Professionalism 1]:[Gracious Professionalism 5]]))</f>
        <v/>
      </c>
      <c r="T21"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21" s="81">
        <f>SUM(CoreValuesResults[[#This Row],[Discovery (IP)]:[Fun (RD)]],CoreValuesResults[[#This Row],[Gracious Professionalism Score]])</f>
        <v>0</v>
      </c>
      <c r="V21" s="43">
        <f>IF(CoreValuesResults[[#This Row],[Team Number]]&gt;0,MIN(_xlfn.RANK.EQ(CoreValuesResults[[#This Row],[Core Values Score]],CoreValuesResults[Core Values Score],0),NumberOfTeams),NumberOfTeams+1)</f>
        <v>1</v>
      </c>
      <c r="W21" s="82"/>
      <c r="X21" s="82"/>
      <c r="Y21" s="82"/>
    </row>
    <row r="22" spans="1:25" ht="30" customHeight="1" x14ac:dyDescent="0.45">
      <c r="A22" s="12">
        <f>_xlfn.XLOOKUP(21,OfficialTeamList[Row],OfficialTeamList[Team Number],"ERROR",0)</f>
        <v>0</v>
      </c>
      <c r="B22" s="42" t="str">
        <f>_xlfn.XLOOKUP(CoreValuesResults[[#This Row],[Team Number]],OfficialTeamList[Team Number],OfficialTeamList[Team Name],"",0,)</f>
        <v/>
      </c>
      <c r="C22" s="87">
        <f>_xlfn.XLOOKUP(CoreValuesResults[[#This Row],[Team Number]],InnovationProjectResults[Team Number],InnovationProjectResults[Identify - Research (CV)])</f>
        <v>0</v>
      </c>
      <c r="D22" s="87">
        <f>_xlfn.XLOOKUP(CoreValuesResults[[#This Row],[Team Number]],InnovationProjectResults[Team Number],InnovationProjectResults[Design - Teamwork (CV)])</f>
        <v>0</v>
      </c>
      <c r="E22" s="87">
        <f>_xlfn.XLOOKUP(CoreValuesResults[[#This Row],[Team Number]],InnovationProjectResults[Team Number],InnovationProjectResults[Create - Innovation (CV)])</f>
        <v>0</v>
      </c>
      <c r="F22" s="87">
        <f>_xlfn.XLOOKUP(CoreValuesResults[[#This Row],[Team Number]],InnovationProjectResults[Team Number],InnovationProjectResults[Communicate - Impact (CV)])</f>
        <v>0</v>
      </c>
      <c r="G22" s="87">
        <f>_xlfn.XLOOKUP(CoreValuesResults[[#This Row],[Team Number]],InnovationProjectResults[Team Number],InnovationProjectResults[Communicate - Fun (CV)])</f>
        <v>0</v>
      </c>
      <c r="H22" s="87">
        <f>_xlfn.XLOOKUP(CoreValuesResults[[#This Row],[Team Number]],RobotDesignResults[Team Number],RobotDesignResults[Identify - Research (CV)])</f>
        <v>0</v>
      </c>
      <c r="I22" s="87">
        <f>_xlfn.XLOOKUP(CoreValuesResults[[#This Row],[Team Number]],RobotDesignResults[Team Number],RobotDesignResults[Design - Ideas (CV)])</f>
        <v>0</v>
      </c>
      <c r="J22" s="87">
        <f>_xlfn.XLOOKUP(CoreValuesResults[[#This Row],[Team Number]],RobotDesignResults[Team Number],RobotDesignResults[Iterate - Improvements (CV)])</f>
        <v>0</v>
      </c>
      <c r="K22" s="87">
        <f>_xlfn.XLOOKUP(CoreValuesResults[[#This Row],[Team Number]],RobotDesignResults[Team Number],RobotDesignResults[Communicate - Impact (CV)])</f>
        <v>0</v>
      </c>
      <c r="L22" s="87">
        <f>_xlfn.XLOOKUP(CoreValuesResults[[#This Row],[Team Number]],RobotDesignResults[Team Number],RobotDesignResults[Communicate - Fun (CV)])</f>
        <v>0</v>
      </c>
      <c r="M22" s="17"/>
      <c r="N22" s="17"/>
      <c r="O22" s="17"/>
      <c r="P22" s="17"/>
      <c r="Q22" s="17"/>
      <c r="R22" s="12" t="str">
        <f>IF(CoreValuesResults[[#This Row],[Gracious Professionalism 1]]="","",COUNTIF(CoreValuesResults[[#This Row],[Gracious Professionalism 1]:[Gracious Professionalism 5]],""))</f>
        <v/>
      </c>
      <c r="S22" s="12" t="str">
        <f>IF(CoreValuesResults[[#This Row],[Gracious Professionalism 1]]="","",SUM(CoreValuesResults[[#This Row],[Gracious Professionalism 1]:[Gracious Professionalism 5]]))</f>
        <v/>
      </c>
      <c r="T22"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22" s="81">
        <f>SUM(CoreValuesResults[[#This Row],[Discovery (IP)]:[Fun (RD)]],CoreValuesResults[[#This Row],[Gracious Professionalism Score]])</f>
        <v>0</v>
      </c>
      <c r="V22" s="43">
        <f>IF(CoreValuesResults[[#This Row],[Team Number]]&gt;0,MIN(_xlfn.RANK.EQ(CoreValuesResults[[#This Row],[Core Values Score]],CoreValuesResults[Core Values Score],0),NumberOfTeams),NumberOfTeams+1)</f>
        <v>1</v>
      </c>
      <c r="W22" s="82"/>
      <c r="X22" s="82"/>
      <c r="Y22" s="82"/>
    </row>
    <row r="23" spans="1:25" ht="30" customHeight="1" x14ac:dyDescent="0.45">
      <c r="A23" s="12">
        <f>_xlfn.XLOOKUP(22,OfficialTeamList[Row],OfficialTeamList[Team Number],"ERROR",0)</f>
        <v>0</v>
      </c>
      <c r="B23" s="42" t="str">
        <f>_xlfn.XLOOKUP(CoreValuesResults[[#This Row],[Team Number]],OfficialTeamList[Team Number],OfficialTeamList[Team Name],"",0,)</f>
        <v/>
      </c>
      <c r="C23" s="87">
        <f>_xlfn.XLOOKUP(CoreValuesResults[[#This Row],[Team Number]],InnovationProjectResults[Team Number],InnovationProjectResults[Identify - Research (CV)])</f>
        <v>0</v>
      </c>
      <c r="D23" s="87">
        <f>_xlfn.XLOOKUP(CoreValuesResults[[#This Row],[Team Number]],InnovationProjectResults[Team Number],InnovationProjectResults[Design - Teamwork (CV)])</f>
        <v>0</v>
      </c>
      <c r="E23" s="87">
        <f>_xlfn.XLOOKUP(CoreValuesResults[[#This Row],[Team Number]],InnovationProjectResults[Team Number],InnovationProjectResults[Create - Innovation (CV)])</f>
        <v>0</v>
      </c>
      <c r="F23" s="87">
        <f>_xlfn.XLOOKUP(CoreValuesResults[[#This Row],[Team Number]],InnovationProjectResults[Team Number],InnovationProjectResults[Communicate - Impact (CV)])</f>
        <v>0</v>
      </c>
      <c r="G23" s="87">
        <f>_xlfn.XLOOKUP(CoreValuesResults[[#This Row],[Team Number]],InnovationProjectResults[Team Number],InnovationProjectResults[Communicate - Fun (CV)])</f>
        <v>0</v>
      </c>
      <c r="H23" s="87">
        <f>_xlfn.XLOOKUP(CoreValuesResults[[#This Row],[Team Number]],RobotDesignResults[Team Number],RobotDesignResults[Identify - Research (CV)])</f>
        <v>0</v>
      </c>
      <c r="I23" s="87">
        <f>_xlfn.XLOOKUP(CoreValuesResults[[#This Row],[Team Number]],RobotDesignResults[Team Number],RobotDesignResults[Design - Ideas (CV)])</f>
        <v>0</v>
      </c>
      <c r="J23" s="87">
        <f>_xlfn.XLOOKUP(CoreValuesResults[[#This Row],[Team Number]],RobotDesignResults[Team Number],RobotDesignResults[Iterate - Improvements (CV)])</f>
        <v>0</v>
      </c>
      <c r="K23" s="87">
        <f>_xlfn.XLOOKUP(CoreValuesResults[[#This Row],[Team Number]],RobotDesignResults[Team Number],RobotDesignResults[Communicate - Impact (CV)])</f>
        <v>0</v>
      </c>
      <c r="L23" s="87">
        <f>_xlfn.XLOOKUP(CoreValuesResults[[#This Row],[Team Number]],RobotDesignResults[Team Number],RobotDesignResults[Communicate - Fun (CV)])</f>
        <v>0</v>
      </c>
      <c r="M23" s="17"/>
      <c r="N23" s="17"/>
      <c r="O23" s="17"/>
      <c r="P23" s="17"/>
      <c r="Q23" s="17"/>
      <c r="R23" s="12" t="str">
        <f>IF(CoreValuesResults[[#This Row],[Gracious Professionalism 1]]="","",COUNTIF(CoreValuesResults[[#This Row],[Gracious Professionalism 1]:[Gracious Professionalism 5]],""))</f>
        <v/>
      </c>
      <c r="S23" s="12" t="str">
        <f>IF(CoreValuesResults[[#This Row],[Gracious Professionalism 1]]="","",SUM(CoreValuesResults[[#This Row],[Gracious Professionalism 1]:[Gracious Professionalism 5]]))</f>
        <v/>
      </c>
      <c r="T23"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23" s="81">
        <f>SUM(CoreValuesResults[[#This Row],[Discovery (IP)]:[Fun (RD)]],CoreValuesResults[[#This Row],[Gracious Professionalism Score]])</f>
        <v>0</v>
      </c>
      <c r="V23" s="43">
        <f>IF(CoreValuesResults[[#This Row],[Team Number]]&gt;0,MIN(_xlfn.RANK.EQ(CoreValuesResults[[#This Row],[Core Values Score]],CoreValuesResults[Core Values Score],0),NumberOfTeams),NumberOfTeams+1)</f>
        <v>1</v>
      </c>
      <c r="W23" s="82"/>
      <c r="X23" s="82"/>
      <c r="Y23" s="82"/>
    </row>
    <row r="24" spans="1:25" ht="30" customHeight="1" x14ac:dyDescent="0.45">
      <c r="A24" s="12">
        <f>_xlfn.XLOOKUP(23,OfficialTeamList[Row],OfficialTeamList[Team Number],"ERROR",0)</f>
        <v>0</v>
      </c>
      <c r="B24" s="42" t="str">
        <f>_xlfn.XLOOKUP(CoreValuesResults[[#This Row],[Team Number]],OfficialTeamList[Team Number],OfficialTeamList[Team Name],"",0,)</f>
        <v/>
      </c>
      <c r="C24" s="87">
        <f>_xlfn.XLOOKUP(CoreValuesResults[[#This Row],[Team Number]],InnovationProjectResults[Team Number],InnovationProjectResults[Identify - Research (CV)])</f>
        <v>0</v>
      </c>
      <c r="D24" s="87">
        <f>_xlfn.XLOOKUP(CoreValuesResults[[#This Row],[Team Number]],InnovationProjectResults[Team Number],InnovationProjectResults[Design - Teamwork (CV)])</f>
        <v>0</v>
      </c>
      <c r="E24" s="87">
        <f>_xlfn.XLOOKUP(CoreValuesResults[[#This Row],[Team Number]],InnovationProjectResults[Team Number],InnovationProjectResults[Create - Innovation (CV)])</f>
        <v>0</v>
      </c>
      <c r="F24" s="87">
        <f>_xlfn.XLOOKUP(CoreValuesResults[[#This Row],[Team Number]],InnovationProjectResults[Team Number],InnovationProjectResults[Communicate - Impact (CV)])</f>
        <v>0</v>
      </c>
      <c r="G24" s="87">
        <f>_xlfn.XLOOKUP(CoreValuesResults[[#This Row],[Team Number]],InnovationProjectResults[Team Number],InnovationProjectResults[Communicate - Fun (CV)])</f>
        <v>0</v>
      </c>
      <c r="H24" s="87">
        <f>_xlfn.XLOOKUP(CoreValuesResults[[#This Row],[Team Number]],RobotDesignResults[Team Number],RobotDesignResults[Identify - Research (CV)])</f>
        <v>0</v>
      </c>
      <c r="I24" s="87">
        <f>_xlfn.XLOOKUP(CoreValuesResults[[#This Row],[Team Number]],RobotDesignResults[Team Number],RobotDesignResults[Design - Ideas (CV)])</f>
        <v>0</v>
      </c>
      <c r="J24" s="87">
        <f>_xlfn.XLOOKUP(CoreValuesResults[[#This Row],[Team Number]],RobotDesignResults[Team Number],RobotDesignResults[Iterate - Improvements (CV)])</f>
        <v>0</v>
      </c>
      <c r="K24" s="87">
        <f>_xlfn.XLOOKUP(CoreValuesResults[[#This Row],[Team Number]],RobotDesignResults[Team Number],RobotDesignResults[Communicate - Impact (CV)])</f>
        <v>0</v>
      </c>
      <c r="L24" s="87">
        <f>_xlfn.XLOOKUP(CoreValuesResults[[#This Row],[Team Number]],RobotDesignResults[Team Number],RobotDesignResults[Communicate - Fun (CV)])</f>
        <v>0</v>
      </c>
      <c r="M24" s="17"/>
      <c r="N24" s="17"/>
      <c r="O24" s="17"/>
      <c r="P24" s="17"/>
      <c r="Q24" s="17"/>
      <c r="R24" s="12" t="str">
        <f>IF(CoreValuesResults[[#This Row],[Gracious Professionalism 1]]="","",COUNTIF(CoreValuesResults[[#This Row],[Gracious Professionalism 1]:[Gracious Professionalism 5]],""))</f>
        <v/>
      </c>
      <c r="S24" s="12" t="str">
        <f>IF(CoreValuesResults[[#This Row],[Gracious Professionalism 1]]="","",SUM(CoreValuesResults[[#This Row],[Gracious Professionalism 1]:[Gracious Professionalism 5]]))</f>
        <v/>
      </c>
      <c r="T24"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24" s="81">
        <f>SUM(CoreValuesResults[[#This Row],[Discovery (IP)]:[Fun (RD)]],CoreValuesResults[[#This Row],[Gracious Professionalism Score]])</f>
        <v>0</v>
      </c>
      <c r="V24" s="43">
        <f>IF(CoreValuesResults[[#This Row],[Team Number]]&gt;0,MIN(_xlfn.RANK.EQ(CoreValuesResults[[#This Row],[Core Values Score]],CoreValuesResults[Core Values Score],0),NumberOfTeams),NumberOfTeams+1)</f>
        <v>1</v>
      </c>
      <c r="W24" s="82"/>
      <c r="X24" s="82"/>
      <c r="Y24" s="82"/>
    </row>
    <row r="25" spans="1:25" ht="30" customHeight="1" x14ac:dyDescent="0.45">
      <c r="A25" s="12">
        <f>_xlfn.XLOOKUP(24,OfficialTeamList[Row],OfficialTeamList[Team Number],"ERROR",0)</f>
        <v>0</v>
      </c>
      <c r="B25" s="42" t="str">
        <f>_xlfn.XLOOKUP(CoreValuesResults[[#This Row],[Team Number]],OfficialTeamList[Team Number],OfficialTeamList[Team Name],"",0,)</f>
        <v/>
      </c>
      <c r="C25" s="87">
        <f>_xlfn.XLOOKUP(CoreValuesResults[[#This Row],[Team Number]],InnovationProjectResults[Team Number],InnovationProjectResults[Identify - Research (CV)])</f>
        <v>0</v>
      </c>
      <c r="D25" s="87">
        <f>_xlfn.XLOOKUP(CoreValuesResults[[#This Row],[Team Number]],InnovationProjectResults[Team Number],InnovationProjectResults[Design - Teamwork (CV)])</f>
        <v>0</v>
      </c>
      <c r="E25" s="87">
        <f>_xlfn.XLOOKUP(CoreValuesResults[[#This Row],[Team Number]],InnovationProjectResults[Team Number],InnovationProjectResults[Create - Innovation (CV)])</f>
        <v>0</v>
      </c>
      <c r="F25" s="87">
        <f>_xlfn.XLOOKUP(CoreValuesResults[[#This Row],[Team Number]],InnovationProjectResults[Team Number],InnovationProjectResults[Communicate - Impact (CV)])</f>
        <v>0</v>
      </c>
      <c r="G25" s="87">
        <f>_xlfn.XLOOKUP(CoreValuesResults[[#This Row],[Team Number]],InnovationProjectResults[Team Number],InnovationProjectResults[Communicate - Fun (CV)])</f>
        <v>0</v>
      </c>
      <c r="H25" s="87">
        <f>_xlfn.XLOOKUP(CoreValuesResults[[#This Row],[Team Number]],RobotDesignResults[Team Number],RobotDesignResults[Identify - Research (CV)])</f>
        <v>0</v>
      </c>
      <c r="I25" s="87">
        <f>_xlfn.XLOOKUP(CoreValuesResults[[#This Row],[Team Number]],RobotDesignResults[Team Number],RobotDesignResults[Design - Ideas (CV)])</f>
        <v>0</v>
      </c>
      <c r="J25" s="87">
        <f>_xlfn.XLOOKUP(CoreValuesResults[[#This Row],[Team Number]],RobotDesignResults[Team Number],RobotDesignResults[Iterate - Improvements (CV)])</f>
        <v>0</v>
      </c>
      <c r="K25" s="87">
        <f>_xlfn.XLOOKUP(CoreValuesResults[[#This Row],[Team Number]],RobotDesignResults[Team Number],RobotDesignResults[Communicate - Impact (CV)])</f>
        <v>0</v>
      </c>
      <c r="L25" s="87">
        <f>_xlfn.XLOOKUP(CoreValuesResults[[#This Row],[Team Number]],RobotDesignResults[Team Number],RobotDesignResults[Communicate - Fun (CV)])</f>
        <v>0</v>
      </c>
      <c r="M25" s="17"/>
      <c r="N25" s="17"/>
      <c r="O25" s="17"/>
      <c r="P25" s="17"/>
      <c r="Q25" s="17"/>
      <c r="R25" s="12" t="str">
        <f>IF(CoreValuesResults[[#This Row],[Gracious Professionalism 1]]="","",COUNTIF(CoreValuesResults[[#This Row],[Gracious Professionalism 1]:[Gracious Professionalism 5]],""))</f>
        <v/>
      </c>
      <c r="S25" s="12" t="str">
        <f>IF(CoreValuesResults[[#This Row],[Gracious Professionalism 1]]="","",SUM(CoreValuesResults[[#This Row],[Gracious Professionalism 1]:[Gracious Professionalism 5]]))</f>
        <v/>
      </c>
      <c r="T25"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25" s="81">
        <f>SUM(CoreValuesResults[[#This Row],[Discovery (IP)]:[Fun (RD)]],CoreValuesResults[[#This Row],[Gracious Professionalism Score]])</f>
        <v>0</v>
      </c>
      <c r="V25" s="43">
        <f>IF(CoreValuesResults[[#This Row],[Team Number]]&gt;0,MIN(_xlfn.RANK.EQ(CoreValuesResults[[#This Row],[Core Values Score]],CoreValuesResults[Core Values Score],0),NumberOfTeams),NumberOfTeams+1)</f>
        <v>1</v>
      </c>
      <c r="W25" s="82"/>
      <c r="X25" s="82"/>
      <c r="Y25" s="82"/>
    </row>
    <row r="26" spans="1:25" ht="30" customHeight="1" x14ac:dyDescent="0.45">
      <c r="A26" s="12">
        <f>_xlfn.XLOOKUP(25,OfficialTeamList[Row],OfficialTeamList[Team Number],"ERROR",0)</f>
        <v>0</v>
      </c>
      <c r="B26" s="42" t="str">
        <f>_xlfn.XLOOKUP(CoreValuesResults[[#This Row],[Team Number]],OfficialTeamList[Team Number],OfficialTeamList[Team Name],"",0,)</f>
        <v/>
      </c>
      <c r="C26" s="87">
        <f>_xlfn.XLOOKUP(CoreValuesResults[[#This Row],[Team Number]],InnovationProjectResults[Team Number],InnovationProjectResults[Identify - Research (CV)])</f>
        <v>0</v>
      </c>
      <c r="D26" s="87">
        <f>_xlfn.XLOOKUP(CoreValuesResults[[#This Row],[Team Number]],InnovationProjectResults[Team Number],InnovationProjectResults[Design - Teamwork (CV)])</f>
        <v>0</v>
      </c>
      <c r="E26" s="87">
        <f>_xlfn.XLOOKUP(CoreValuesResults[[#This Row],[Team Number]],InnovationProjectResults[Team Number],InnovationProjectResults[Create - Innovation (CV)])</f>
        <v>0</v>
      </c>
      <c r="F26" s="87">
        <f>_xlfn.XLOOKUP(CoreValuesResults[[#This Row],[Team Number]],InnovationProjectResults[Team Number],InnovationProjectResults[Communicate - Impact (CV)])</f>
        <v>0</v>
      </c>
      <c r="G26" s="87">
        <f>_xlfn.XLOOKUP(CoreValuesResults[[#This Row],[Team Number]],InnovationProjectResults[Team Number],InnovationProjectResults[Communicate - Fun (CV)])</f>
        <v>0</v>
      </c>
      <c r="H26" s="87">
        <f>_xlfn.XLOOKUP(CoreValuesResults[[#This Row],[Team Number]],RobotDesignResults[Team Number],RobotDesignResults[Identify - Research (CV)])</f>
        <v>0</v>
      </c>
      <c r="I26" s="87">
        <f>_xlfn.XLOOKUP(CoreValuesResults[[#This Row],[Team Number]],RobotDesignResults[Team Number],RobotDesignResults[Design - Ideas (CV)])</f>
        <v>0</v>
      </c>
      <c r="J26" s="87">
        <f>_xlfn.XLOOKUP(CoreValuesResults[[#This Row],[Team Number]],RobotDesignResults[Team Number],RobotDesignResults[Iterate - Improvements (CV)])</f>
        <v>0</v>
      </c>
      <c r="K26" s="87">
        <f>_xlfn.XLOOKUP(CoreValuesResults[[#This Row],[Team Number]],RobotDesignResults[Team Number],RobotDesignResults[Communicate - Impact (CV)])</f>
        <v>0</v>
      </c>
      <c r="L26" s="87">
        <f>_xlfn.XLOOKUP(CoreValuesResults[[#This Row],[Team Number]],RobotDesignResults[Team Number],RobotDesignResults[Communicate - Fun (CV)])</f>
        <v>0</v>
      </c>
      <c r="M26" s="17"/>
      <c r="N26" s="17"/>
      <c r="O26" s="17"/>
      <c r="P26" s="17"/>
      <c r="Q26" s="17"/>
      <c r="R26" s="12" t="str">
        <f>IF(CoreValuesResults[[#This Row],[Gracious Professionalism 1]]="","",COUNTIF(CoreValuesResults[[#This Row],[Gracious Professionalism 1]:[Gracious Professionalism 5]],""))</f>
        <v/>
      </c>
      <c r="S26" s="12" t="str">
        <f>IF(CoreValuesResults[[#This Row],[Gracious Professionalism 1]]="","",SUM(CoreValuesResults[[#This Row],[Gracious Professionalism 1]:[Gracious Professionalism 5]]))</f>
        <v/>
      </c>
      <c r="T26"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26" s="81">
        <f>SUM(CoreValuesResults[[#This Row],[Discovery (IP)]:[Fun (RD)]],CoreValuesResults[[#This Row],[Gracious Professionalism Score]])</f>
        <v>0</v>
      </c>
      <c r="V26" s="43">
        <f>IF(CoreValuesResults[[#This Row],[Team Number]]&gt;0,MIN(_xlfn.RANK.EQ(CoreValuesResults[[#This Row],[Core Values Score]],CoreValuesResults[Core Values Score],0),NumberOfTeams),NumberOfTeams+1)</f>
        <v>1</v>
      </c>
      <c r="W26" s="82"/>
      <c r="X26" s="82"/>
      <c r="Y26" s="82"/>
    </row>
    <row r="27" spans="1:25" ht="30" customHeight="1" x14ac:dyDescent="0.45">
      <c r="A27" s="12">
        <f>_xlfn.XLOOKUP(26,OfficialTeamList[Row],OfficialTeamList[Team Number],"ERROR",0)</f>
        <v>0</v>
      </c>
      <c r="B27" s="42" t="str">
        <f>_xlfn.XLOOKUP(CoreValuesResults[[#This Row],[Team Number]],OfficialTeamList[Team Number],OfficialTeamList[Team Name],"",0,)</f>
        <v/>
      </c>
      <c r="C27" s="87">
        <f>_xlfn.XLOOKUP(CoreValuesResults[[#This Row],[Team Number]],InnovationProjectResults[Team Number],InnovationProjectResults[Identify - Research (CV)])</f>
        <v>0</v>
      </c>
      <c r="D27" s="87">
        <f>_xlfn.XLOOKUP(CoreValuesResults[[#This Row],[Team Number]],InnovationProjectResults[Team Number],InnovationProjectResults[Design - Teamwork (CV)])</f>
        <v>0</v>
      </c>
      <c r="E27" s="87">
        <f>_xlfn.XLOOKUP(CoreValuesResults[[#This Row],[Team Number]],InnovationProjectResults[Team Number],InnovationProjectResults[Create - Innovation (CV)])</f>
        <v>0</v>
      </c>
      <c r="F27" s="87">
        <f>_xlfn.XLOOKUP(CoreValuesResults[[#This Row],[Team Number]],InnovationProjectResults[Team Number],InnovationProjectResults[Communicate - Impact (CV)])</f>
        <v>0</v>
      </c>
      <c r="G27" s="87">
        <f>_xlfn.XLOOKUP(CoreValuesResults[[#This Row],[Team Number]],InnovationProjectResults[Team Number],InnovationProjectResults[Communicate - Fun (CV)])</f>
        <v>0</v>
      </c>
      <c r="H27" s="87">
        <f>_xlfn.XLOOKUP(CoreValuesResults[[#This Row],[Team Number]],RobotDesignResults[Team Number],RobotDesignResults[Identify - Research (CV)])</f>
        <v>0</v>
      </c>
      <c r="I27" s="87">
        <f>_xlfn.XLOOKUP(CoreValuesResults[[#This Row],[Team Number]],RobotDesignResults[Team Number],RobotDesignResults[Design - Ideas (CV)])</f>
        <v>0</v>
      </c>
      <c r="J27" s="87">
        <f>_xlfn.XLOOKUP(CoreValuesResults[[#This Row],[Team Number]],RobotDesignResults[Team Number],RobotDesignResults[Iterate - Improvements (CV)])</f>
        <v>0</v>
      </c>
      <c r="K27" s="87">
        <f>_xlfn.XLOOKUP(CoreValuesResults[[#This Row],[Team Number]],RobotDesignResults[Team Number],RobotDesignResults[Communicate - Impact (CV)])</f>
        <v>0</v>
      </c>
      <c r="L27" s="87">
        <f>_xlfn.XLOOKUP(CoreValuesResults[[#This Row],[Team Number]],RobotDesignResults[Team Number],RobotDesignResults[Communicate - Fun (CV)])</f>
        <v>0</v>
      </c>
      <c r="M27" s="17"/>
      <c r="N27" s="17"/>
      <c r="O27" s="17"/>
      <c r="P27" s="17"/>
      <c r="Q27" s="17"/>
      <c r="R27" s="12" t="str">
        <f>IF(CoreValuesResults[[#This Row],[Gracious Professionalism 1]]="","",COUNTIF(CoreValuesResults[[#This Row],[Gracious Professionalism 1]:[Gracious Professionalism 5]],""))</f>
        <v/>
      </c>
      <c r="S27" s="12" t="str">
        <f>IF(CoreValuesResults[[#This Row],[Gracious Professionalism 1]]="","",SUM(CoreValuesResults[[#This Row],[Gracious Professionalism 1]:[Gracious Professionalism 5]]))</f>
        <v/>
      </c>
      <c r="T27"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27" s="81">
        <f>SUM(CoreValuesResults[[#This Row],[Discovery (IP)]:[Fun (RD)]],CoreValuesResults[[#This Row],[Gracious Professionalism Score]])</f>
        <v>0</v>
      </c>
      <c r="V27" s="43">
        <f>IF(CoreValuesResults[[#This Row],[Team Number]]&gt;0,MIN(_xlfn.RANK.EQ(CoreValuesResults[[#This Row],[Core Values Score]],CoreValuesResults[Core Values Score],0),NumberOfTeams),NumberOfTeams+1)</f>
        <v>1</v>
      </c>
      <c r="W27" s="82"/>
      <c r="X27" s="82"/>
      <c r="Y27" s="82"/>
    </row>
    <row r="28" spans="1:25" ht="30" customHeight="1" x14ac:dyDescent="0.45">
      <c r="A28" s="12">
        <f>_xlfn.XLOOKUP(27,OfficialTeamList[Row],OfficialTeamList[Team Number],"ERROR",0)</f>
        <v>0</v>
      </c>
      <c r="B28" s="42" t="str">
        <f>_xlfn.XLOOKUP(CoreValuesResults[[#This Row],[Team Number]],OfficialTeamList[Team Number],OfficialTeamList[Team Name],"",0,)</f>
        <v/>
      </c>
      <c r="C28" s="87">
        <f>_xlfn.XLOOKUP(CoreValuesResults[[#This Row],[Team Number]],InnovationProjectResults[Team Number],InnovationProjectResults[Identify - Research (CV)])</f>
        <v>0</v>
      </c>
      <c r="D28" s="87">
        <f>_xlfn.XLOOKUP(CoreValuesResults[[#This Row],[Team Number]],InnovationProjectResults[Team Number],InnovationProjectResults[Design - Teamwork (CV)])</f>
        <v>0</v>
      </c>
      <c r="E28" s="87">
        <f>_xlfn.XLOOKUP(CoreValuesResults[[#This Row],[Team Number]],InnovationProjectResults[Team Number],InnovationProjectResults[Create - Innovation (CV)])</f>
        <v>0</v>
      </c>
      <c r="F28" s="87">
        <f>_xlfn.XLOOKUP(CoreValuesResults[[#This Row],[Team Number]],InnovationProjectResults[Team Number],InnovationProjectResults[Communicate - Impact (CV)])</f>
        <v>0</v>
      </c>
      <c r="G28" s="87">
        <f>_xlfn.XLOOKUP(CoreValuesResults[[#This Row],[Team Number]],InnovationProjectResults[Team Number],InnovationProjectResults[Communicate - Fun (CV)])</f>
        <v>0</v>
      </c>
      <c r="H28" s="87">
        <f>_xlfn.XLOOKUP(CoreValuesResults[[#This Row],[Team Number]],RobotDesignResults[Team Number],RobotDesignResults[Identify - Research (CV)])</f>
        <v>0</v>
      </c>
      <c r="I28" s="87">
        <f>_xlfn.XLOOKUP(CoreValuesResults[[#This Row],[Team Number]],RobotDesignResults[Team Number],RobotDesignResults[Design - Ideas (CV)])</f>
        <v>0</v>
      </c>
      <c r="J28" s="87">
        <f>_xlfn.XLOOKUP(CoreValuesResults[[#This Row],[Team Number]],RobotDesignResults[Team Number],RobotDesignResults[Iterate - Improvements (CV)])</f>
        <v>0</v>
      </c>
      <c r="K28" s="87">
        <f>_xlfn.XLOOKUP(CoreValuesResults[[#This Row],[Team Number]],RobotDesignResults[Team Number],RobotDesignResults[Communicate - Impact (CV)])</f>
        <v>0</v>
      </c>
      <c r="L28" s="87">
        <f>_xlfn.XLOOKUP(CoreValuesResults[[#This Row],[Team Number]],RobotDesignResults[Team Number],RobotDesignResults[Communicate - Fun (CV)])</f>
        <v>0</v>
      </c>
      <c r="M28" s="17"/>
      <c r="N28" s="17"/>
      <c r="O28" s="17"/>
      <c r="P28" s="17"/>
      <c r="Q28" s="17"/>
      <c r="R28" s="12" t="str">
        <f>IF(CoreValuesResults[[#This Row],[Gracious Professionalism 1]]="","",COUNTIF(CoreValuesResults[[#This Row],[Gracious Professionalism 1]:[Gracious Professionalism 5]],""))</f>
        <v/>
      </c>
      <c r="S28" s="12" t="str">
        <f>IF(CoreValuesResults[[#This Row],[Gracious Professionalism 1]]="","",SUM(CoreValuesResults[[#This Row],[Gracious Professionalism 1]:[Gracious Professionalism 5]]))</f>
        <v/>
      </c>
      <c r="T28"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28" s="81">
        <f>SUM(CoreValuesResults[[#This Row],[Discovery (IP)]:[Fun (RD)]],CoreValuesResults[[#This Row],[Gracious Professionalism Score]])</f>
        <v>0</v>
      </c>
      <c r="V28" s="43">
        <f>IF(CoreValuesResults[[#This Row],[Team Number]]&gt;0,MIN(_xlfn.RANK.EQ(CoreValuesResults[[#This Row],[Core Values Score]],CoreValuesResults[Core Values Score],0),NumberOfTeams),NumberOfTeams+1)</f>
        <v>1</v>
      </c>
      <c r="W28" s="82"/>
      <c r="X28" s="82"/>
      <c r="Y28" s="82"/>
    </row>
    <row r="29" spans="1:25" ht="30" customHeight="1" x14ac:dyDescent="0.45">
      <c r="A29" s="12">
        <f>_xlfn.XLOOKUP(28,OfficialTeamList[Row],OfficialTeamList[Team Number],"ERROR",0)</f>
        <v>0</v>
      </c>
      <c r="B29" s="42" t="str">
        <f>_xlfn.XLOOKUP(CoreValuesResults[[#This Row],[Team Number]],OfficialTeamList[Team Number],OfficialTeamList[Team Name],"",0,)</f>
        <v/>
      </c>
      <c r="C29" s="87">
        <f>_xlfn.XLOOKUP(CoreValuesResults[[#This Row],[Team Number]],InnovationProjectResults[Team Number],InnovationProjectResults[Identify - Research (CV)])</f>
        <v>0</v>
      </c>
      <c r="D29" s="87">
        <f>_xlfn.XLOOKUP(CoreValuesResults[[#This Row],[Team Number]],InnovationProjectResults[Team Number],InnovationProjectResults[Design - Teamwork (CV)])</f>
        <v>0</v>
      </c>
      <c r="E29" s="87">
        <f>_xlfn.XLOOKUP(CoreValuesResults[[#This Row],[Team Number]],InnovationProjectResults[Team Number],InnovationProjectResults[Create - Innovation (CV)])</f>
        <v>0</v>
      </c>
      <c r="F29" s="87">
        <f>_xlfn.XLOOKUP(CoreValuesResults[[#This Row],[Team Number]],InnovationProjectResults[Team Number],InnovationProjectResults[Communicate - Impact (CV)])</f>
        <v>0</v>
      </c>
      <c r="G29" s="87">
        <f>_xlfn.XLOOKUP(CoreValuesResults[[#This Row],[Team Number]],InnovationProjectResults[Team Number],InnovationProjectResults[Communicate - Fun (CV)])</f>
        <v>0</v>
      </c>
      <c r="H29" s="87">
        <f>_xlfn.XLOOKUP(CoreValuesResults[[#This Row],[Team Number]],RobotDesignResults[Team Number],RobotDesignResults[Identify - Research (CV)])</f>
        <v>0</v>
      </c>
      <c r="I29" s="87">
        <f>_xlfn.XLOOKUP(CoreValuesResults[[#This Row],[Team Number]],RobotDesignResults[Team Number],RobotDesignResults[Design - Ideas (CV)])</f>
        <v>0</v>
      </c>
      <c r="J29" s="87">
        <f>_xlfn.XLOOKUP(CoreValuesResults[[#This Row],[Team Number]],RobotDesignResults[Team Number],RobotDesignResults[Iterate - Improvements (CV)])</f>
        <v>0</v>
      </c>
      <c r="K29" s="87">
        <f>_xlfn.XLOOKUP(CoreValuesResults[[#This Row],[Team Number]],RobotDesignResults[Team Number],RobotDesignResults[Communicate - Impact (CV)])</f>
        <v>0</v>
      </c>
      <c r="L29" s="87">
        <f>_xlfn.XLOOKUP(CoreValuesResults[[#This Row],[Team Number]],RobotDesignResults[Team Number],RobotDesignResults[Communicate - Fun (CV)])</f>
        <v>0</v>
      </c>
      <c r="M29" s="17"/>
      <c r="N29" s="17"/>
      <c r="O29" s="17"/>
      <c r="P29" s="17"/>
      <c r="Q29" s="17"/>
      <c r="R29" s="12" t="str">
        <f>IF(CoreValuesResults[[#This Row],[Gracious Professionalism 1]]="","",COUNTIF(CoreValuesResults[[#This Row],[Gracious Professionalism 1]:[Gracious Professionalism 5]],""))</f>
        <v/>
      </c>
      <c r="S29" s="12" t="str">
        <f>IF(CoreValuesResults[[#This Row],[Gracious Professionalism 1]]="","",SUM(CoreValuesResults[[#This Row],[Gracious Professionalism 1]:[Gracious Professionalism 5]]))</f>
        <v/>
      </c>
      <c r="T29"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29" s="81">
        <f>SUM(CoreValuesResults[[#This Row],[Discovery (IP)]:[Fun (RD)]],CoreValuesResults[[#This Row],[Gracious Professionalism Score]])</f>
        <v>0</v>
      </c>
      <c r="V29" s="43">
        <f>IF(CoreValuesResults[[#This Row],[Team Number]]&gt;0,MIN(_xlfn.RANK.EQ(CoreValuesResults[[#This Row],[Core Values Score]],CoreValuesResults[Core Values Score],0),NumberOfTeams),NumberOfTeams+1)</f>
        <v>1</v>
      </c>
      <c r="W29" s="82"/>
      <c r="X29" s="82"/>
      <c r="Y29" s="82"/>
    </row>
    <row r="30" spans="1:25" ht="30" customHeight="1" x14ac:dyDescent="0.45">
      <c r="A30" s="12">
        <f>_xlfn.XLOOKUP(29,OfficialTeamList[Row],OfficialTeamList[Team Number],"ERROR",0)</f>
        <v>0</v>
      </c>
      <c r="B30" s="42" t="str">
        <f>_xlfn.XLOOKUP(CoreValuesResults[[#This Row],[Team Number]],OfficialTeamList[Team Number],OfficialTeamList[Team Name],"",0,)</f>
        <v/>
      </c>
      <c r="C30" s="87">
        <f>_xlfn.XLOOKUP(CoreValuesResults[[#This Row],[Team Number]],InnovationProjectResults[Team Number],InnovationProjectResults[Identify - Research (CV)])</f>
        <v>0</v>
      </c>
      <c r="D30" s="87">
        <f>_xlfn.XLOOKUP(CoreValuesResults[[#This Row],[Team Number]],InnovationProjectResults[Team Number],InnovationProjectResults[Design - Teamwork (CV)])</f>
        <v>0</v>
      </c>
      <c r="E30" s="87">
        <f>_xlfn.XLOOKUP(CoreValuesResults[[#This Row],[Team Number]],InnovationProjectResults[Team Number],InnovationProjectResults[Create - Innovation (CV)])</f>
        <v>0</v>
      </c>
      <c r="F30" s="87">
        <f>_xlfn.XLOOKUP(CoreValuesResults[[#This Row],[Team Number]],InnovationProjectResults[Team Number],InnovationProjectResults[Communicate - Impact (CV)])</f>
        <v>0</v>
      </c>
      <c r="G30" s="87">
        <f>_xlfn.XLOOKUP(CoreValuesResults[[#This Row],[Team Number]],InnovationProjectResults[Team Number],InnovationProjectResults[Communicate - Fun (CV)])</f>
        <v>0</v>
      </c>
      <c r="H30" s="87">
        <f>_xlfn.XLOOKUP(CoreValuesResults[[#This Row],[Team Number]],RobotDesignResults[Team Number],RobotDesignResults[Identify - Research (CV)])</f>
        <v>0</v>
      </c>
      <c r="I30" s="87">
        <f>_xlfn.XLOOKUP(CoreValuesResults[[#This Row],[Team Number]],RobotDesignResults[Team Number],RobotDesignResults[Design - Ideas (CV)])</f>
        <v>0</v>
      </c>
      <c r="J30" s="87">
        <f>_xlfn.XLOOKUP(CoreValuesResults[[#This Row],[Team Number]],RobotDesignResults[Team Number],RobotDesignResults[Iterate - Improvements (CV)])</f>
        <v>0</v>
      </c>
      <c r="K30" s="87">
        <f>_xlfn.XLOOKUP(CoreValuesResults[[#This Row],[Team Number]],RobotDesignResults[Team Number],RobotDesignResults[Communicate - Impact (CV)])</f>
        <v>0</v>
      </c>
      <c r="L30" s="87">
        <f>_xlfn.XLOOKUP(CoreValuesResults[[#This Row],[Team Number]],RobotDesignResults[Team Number],RobotDesignResults[Communicate - Fun (CV)])</f>
        <v>0</v>
      </c>
      <c r="M30" s="17"/>
      <c r="N30" s="17"/>
      <c r="O30" s="17"/>
      <c r="P30" s="17"/>
      <c r="Q30" s="17"/>
      <c r="R30" s="12" t="str">
        <f>IF(CoreValuesResults[[#This Row],[Gracious Professionalism 1]]="","",COUNTIF(CoreValuesResults[[#This Row],[Gracious Professionalism 1]:[Gracious Professionalism 5]],""))</f>
        <v/>
      </c>
      <c r="S30" s="12" t="str">
        <f>IF(CoreValuesResults[[#This Row],[Gracious Professionalism 1]]="","",SUM(CoreValuesResults[[#This Row],[Gracious Professionalism 1]:[Gracious Professionalism 5]]))</f>
        <v/>
      </c>
      <c r="T30"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30" s="81">
        <f>SUM(CoreValuesResults[[#This Row],[Discovery (IP)]:[Fun (RD)]],CoreValuesResults[[#This Row],[Gracious Professionalism Score]])</f>
        <v>0</v>
      </c>
      <c r="V30" s="43">
        <f>IF(CoreValuesResults[[#This Row],[Team Number]]&gt;0,MIN(_xlfn.RANK.EQ(CoreValuesResults[[#This Row],[Core Values Score]],CoreValuesResults[Core Values Score],0),NumberOfTeams),NumberOfTeams+1)</f>
        <v>1</v>
      </c>
      <c r="W30" s="82"/>
      <c r="X30" s="82"/>
      <c r="Y30" s="82"/>
    </row>
    <row r="31" spans="1:25" ht="30" customHeight="1" x14ac:dyDescent="0.45">
      <c r="A31" s="12">
        <f>_xlfn.XLOOKUP(30,OfficialTeamList[Row],OfficialTeamList[Team Number],"ERROR",0)</f>
        <v>0</v>
      </c>
      <c r="B31" s="42" t="str">
        <f>_xlfn.XLOOKUP(CoreValuesResults[[#This Row],[Team Number]],OfficialTeamList[Team Number],OfficialTeamList[Team Name],"",0,)</f>
        <v/>
      </c>
      <c r="C31" s="87">
        <f>_xlfn.XLOOKUP(CoreValuesResults[[#This Row],[Team Number]],InnovationProjectResults[Team Number],InnovationProjectResults[Identify - Research (CV)])</f>
        <v>0</v>
      </c>
      <c r="D31" s="87">
        <f>_xlfn.XLOOKUP(CoreValuesResults[[#This Row],[Team Number]],InnovationProjectResults[Team Number],InnovationProjectResults[Design - Teamwork (CV)])</f>
        <v>0</v>
      </c>
      <c r="E31" s="87">
        <f>_xlfn.XLOOKUP(CoreValuesResults[[#This Row],[Team Number]],InnovationProjectResults[Team Number],InnovationProjectResults[Create - Innovation (CV)])</f>
        <v>0</v>
      </c>
      <c r="F31" s="87">
        <f>_xlfn.XLOOKUP(CoreValuesResults[[#This Row],[Team Number]],InnovationProjectResults[Team Number],InnovationProjectResults[Communicate - Impact (CV)])</f>
        <v>0</v>
      </c>
      <c r="G31" s="87">
        <f>_xlfn.XLOOKUP(CoreValuesResults[[#This Row],[Team Number]],InnovationProjectResults[Team Number],InnovationProjectResults[Communicate - Fun (CV)])</f>
        <v>0</v>
      </c>
      <c r="H31" s="87">
        <f>_xlfn.XLOOKUP(CoreValuesResults[[#This Row],[Team Number]],RobotDesignResults[Team Number],RobotDesignResults[Identify - Research (CV)])</f>
        <v>0</v>
      </c>
      <c r="I31" s="87">
        <f>_xlfn.XLOOKUP(CoreValuesResults[[#This Row],[Team Number]],RobotDesignResults[Team Number],RobotDesignResults[Design - Ideas (CV)])</f>
        <v>0</v>
      </c>
      <c r="J31" s="87">
        <f>_xlfn.XLOOKUP(CoreValuesResults[[#This Row],[Team Number]],RobotDesignResults[Team Number],RobotDesignResults[Iterate - Improvements (CV)])</f>
        <v>0</v>
      </c>
      <c r="K31" s="87">
        <f>_xlfn.XLOOKUP(CoreValuesResults[[#This Row],[Team Number]],RobotDesignResults[Team Number],RobotDesignResults[Communicate - Impact (CV)])</f>
        <v>0</v>
      </c>
      <c r="L31" s="87">
        <f>_xlfn.XLOOKUP(CoreValuesResults[[#This Row],[Team Number]],RobotDesignResults[Team Number],RobotDesignResults[Communicate - Fun (CV)])</f>
        <v>0</v>
      </c>
      <c r="M31" s="17"/>
      <c r="N31" s="17"/>
      <c r="O31" s="17"/>
      <c r="P31" s="17"/>
      <c r="Q31" s="17"/>
      <c r="R31" s="12" t="str">
        <f>IF(CoreValuesResults[[#This Row],[Gracious Professionalism 1]]="","",COUNTIF(CoreValuesResults[[#This Row],[Gracious Professionalism 1]:[Gracious Professionalism 5]],""))</f>
        <v/>
      </c>
      <c r="S31" s="12" t="str">
        <f>IF(CoreValuesResults[[#This Row],[Gracious Professionalism 1]]="","",SUM(CoreValuesResults[[#This Row],[Gracious Professionalism 1]:[Gracious Professionalism 5]]))</f>
        <v/>
      </c>
      <c r="T31"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31" s="81">
        <f>SUM(CoreValuesResults[[#This Row],[Discovery (IP)]:[Fun (RD)]],CoreValuesResults[[#This Row],[Gracious Professionalism Score]])</f>
        <v>0</v>
      </c>
      <c r="V31" s="43">
        <f>IF(CoreValuesResults[[#This Row],[Team Number]]&gt;0,MIN(_xlfn.RANK.EQ(CoreValuesResults[[#This Row],[Core Values Score]],CoreValuesResults[Core Values Score],0),NumberOfTeams),NumberOfTeams+1)</f>
        <v>1</v>
      </c>
      <c r="W31" s="82"/>
      <c r="X31" s="82"/>
      <c r="Y31" s="82"/>
    </row>
    <row r="32" spans="1:25" ht="30" customHeight="1" x14ac:dyDescent="0.45">
      <c r="A32" s="12">
        <f>_xlfn.XLOOKUP(31,OfficialTeamList[Row],OfficialTeamList[Team Number],"ERROR",0)</f>
        <v>0</v>
      </c>
      <c r="B32" s="42" t="str">
        <f>_xlfn.XLOOKUP(CoreValuesResults[[#This Row],[Team Number]],OfficialTeamList[Team Number],OfficialTeamList[Team Name],"",0,)</f>
        <v/>
      </c>
      <c r="C32" s="87">
        <f>_xlfn.XLOOKUP(CoreValuesResults[[#This Row],[Team Number]],InnovationProjectResults[Team Number],InnovationProjectResults[Identify - Research (CV)])</f>
        <v>0</v>
      </c>
      <c r="D32" s="87">
        <f>_xlfn.XLOOKUP(CoreValuesResults[[#This Row],[Team Number]],InnovationProjectResults[Team Number],InnovationProjectResults[Design - Teamwork (CV)])</f>
        <v>0</v>
      </c>
      <c r="E32" s="87">
        <f>_xlfn.XLOOKUP(CoreValuesResults[[#This Row],[Team Number]],InnovationProjectResults[Team Number],InnovationProjectResults[Create - Innovation (CV)])</f>
        <v>0</v>
      </c>
      <c r="F32" s="87">
        <f>_xlfn.XLOOKUP(CoreValuesResults[[#This Row],[Team Number]],InnovationProjectResults[Team Number],InnovationProjectResults[Communicate - Impact (CV)])</f>
        <v>0</v>
      </c>
      <c r="G32" s="87">
        <f>_xlfn.XLOOKUP(CoreValuesResults[[#This Row],[Team Number]],InnovationProjectResults[Team Number],InnovationProjectResults[Communicate - Fun (CV)])</f>
        <v>0</v>
      </c>
      <c r="H32" s="87">
        <f>_xlfn.XLOOKUP(CoreValuesResults[[#This Row],[Team Number]],RobotDesignResults[Team Number],RobotDesignResults[Identify - Research (CV)])</f>
        <v>0</v>
      </c>
      <c r="I32" s="87">
        <f>_xlfn.XLOOKUP(CoreValuesResults[[#This Row],[Team Number]],RobotDesignResults[Team Number],RobotDesignResults[Design - Ideas (CV)])</f>
        <v>0</v>
      </c>
      <c r="J32" s="87">
        <f>_xlfn.XLOOKUP(CoreValuesResults[[#This Row],[Team Number]],RobotDesignResults[Team Number],RobotDesignResults[Iterate - Improvements (CV)])</f>
        <v>0</v>
      </c>
      <c r="K32" s="87">
        <f>_xlfn.XLOOKUP(CoreValuesResults[[#This Row],[Team Number]],RobotDesignResults[Team Number],RobotDesignResults[Communicate - Impact (CV)])</f>
        <v>0</v>
      </c>
      <c r="L32" s="87">
        <f>_xlfn.XLOOKUP(CoreValuesResults[[#This Row],[Team Number]],RobotDesignResults[Team Number],RobotDesignResults[Communicate - Fun (CV)])</f>
        <v>0</v>
      </c>
      <c r="M32" s="17"/>
      <c r="N32" s="17"/>
      <c r="O32" s="17"/>
      <c r="P32" s="17"/>
      <c r="Q32" s="17"/>
      <c r="R32" s="12" t="str">
        <f>IF(CoreValuesResults[[#This Row],[Gracious Professionalism 1]]="","",COUNTIF(CoreValuesResults[[#This Row],[Gracious Professionalism 1]:[Gracious Professionalism 5]],""))</f>
        <v/>
      </c>
      <c r="S32" s="12" t="str">
        <f>IF(CoreValuesResults[[#This Row],[Gracious Professionalism 1]]="","",SUM(CoreValuesResults[[#This Row],[Gracious Professionalism 1]:[Gracious Professionalism 5]]))</f>
        <v/>
      </c>
      <c r="T32"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32" s="81">
        <f>SUM(CoreValuesResults[[#This Row],[Discovery (IP)]:[Fun (RD)]],CoreValuesResults[[#This Row],[Gracious Professionalism Score]])</f>
        <v>0</v>
      </c>
      <c r="V32" s="43">
        <f>IF(CoreValuesResults[[#This Row],[Team Number]]&gt;0,MIN(_xlfn.RANK.EQ(CoreValuesResults[[#This Row],[Core Values Score]],CoreValuesResults[Core Values Score],0),NumberOfTeams),NumberOfTeams+1)</f>
        <v>1</v>
      </c>
      <c r="W32" s="82"/>
      <c r="X32" s="82"/>
      <c r="Y32" s="82"/>
    </row>
    <row r="33" spans="1:25" ht="30" customHeight="1" x14ac:dyDescent="0.45">
      <c r="A33" s="12">
        <f>_xlfn.XLOOKUP(32,OfficialTeamList[Row],OfficialTeamList[Team Number],"ERROR",0)</f>
        <v>0</v>
      </c>
      <c r="B33" s="42" t="str">
        <f>_xlfn.XLOOKUP(CoreValuesResults[[#This Row],[Team Number]],OfficialTeamList[Team Number],OfficialTeamList[Team Name],"",0,)</f>
        <v/>
      </c>
      <c r="C33" s="87">
        <f>_xlfn.XLOOKUP(CoreValuesResults[[#This Row],[Team Number]],InnovationProjectResults[Team Number],InnovationProjectResults[Identify - Research (CV)])</f>
        <v>0</v>
      </c>
      <c r="D33" s="87">
        <f>_xlfn.XLOOKUP(CoreValuesResults[[#This Row],[Team Number]],InnovationProjectResults[Team Number],InnovationProjectResults[Design - Teamwork (CV)])</f>
        <v>0</v>
      </c>
      <c r="E33" s="87">
        <f>_xlfn.XLOOKUP(CoreValuesResults[[#This Row],[Team Number]],InnovationProjectResults[Team Number],InnovationProjectResults[Create - Innovation (CV)])</f>
        <v>0</v>
      </c>
      <c r="F33" s="87">
        <f>_xlfn.XLOOKUP(CoreValuesResults[[#This Row],[Team Number]],InnovationProjectResults[Team Number],InnovationProjectResults[Communicate - Impact (CV)])</f>
        <v>0</v>
      </c>
      <c r="G33" s="87">
        <f>_xlfn.XLOOKUP(CoreValuesResults[[#This Row],[Team Number]],InnovationProjectResults[Team Number],InnovationProjectResults[Communicate - Fun (CV)])</f>
        <v>0</v>
      </c>
      <c r="H33" s="87">
        <f>_xlfn.XLOOKUP(CoreValuesResults[[#This Row],[Team Number]],RobotDesignResults[Team Number],RobotDesignResults[Identify - Research (CV)])</f>
        <v>0</v>
      </c>
      <c r="I33" s="87">
        <f>_xlfn.XLOOKUP(CoreValuesResults[[#This Row],[Team Number]],RobotDesignResults[Team Number],RobotDesignResults[Design - Ideas (CV)])</f>
        <v>0</v>
      </c>
      <c r="J33" s="87">
        <f>_xlfn.XLOOKUP(CoreValuesResults[[#This Row],[Team Number]],RobotDesignResults[Team Number],RobotDesignResults[Iterate - Improvements (CV)])</f>
        <v>0</v>
      </c>
      <c r="K33" s="87">
        <f>_xlfn.XLOOKUP(CoreValuesResults[[#This Row],[Team Number]],RobotDesignResults[Team Number],RobotDesignResults[Communicate - Impact (CV)])</f>
        <v>0</v>
      </c>
      <c r="L33" s="87">
        <f>_xlfn.XLOOKUP(CoreValuesResults[[#This Row],[Team Number]],RobotDesignResults[Team Number],RobotDesignResults[Communicate - Fun (CV)])</f>
        <v>0</v>
      </c>
      <c r="M33" s="17"/>
      <c r="N33" s="17"/>
      <c r="O33" s="17"/>
      <c r="P33" s="17"/>
      <c r="Q33" s="17"/>
      <c r="R33" s="12" t="str">
        <f>IF(CoreValuesResults[[#This Row],[Gracious Professionalism 1]]="","",COUNTIF(CoreValuesResults[[#This Row],[Gracious Professionalism 1]:[Gracious Professionalism 5]],""))</f>
        <v/>
      </c>
      <c r="S33" s="12" t="str">
        <f>IF(CoreValuesResults[[#This Row],[Gracious Professionalism 1]]="","",SUM(CoreValuesResults[[#This Row],[Gracious Professionalism 1]:[Gracious Professionalism 5]]))</f>
        <v/>
      </c>
      <c r="T33"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33" s="81">
        <f>SUM(CoreValuesResults[[#This Row],[Discovery (IP)]:[Fun (RD)]],CoreValuesResults[[#This Row],[Gracious Professionalism Score]])</f>
        <v>0</v>
      </c>
      <c r="V33" s="43">
        <f>IF(CoreValuesResults[[#This Row],[Team Number]]&gt;0,MIN(_xlfn.RANK.EQ(CoreValuesResults[[#This Row],[Core Values Score]],CoreValuesResults[Core Values Score],0),NumberOfTeams),NumberOfTeams+1)</f>
        <v>1</v>
      </c>
      <c r="W33" s="82"/>
      <c r="X33" s="82"/>
      <c r="Y33" s="82"/>
    </row>
    <row r="34" spans="1:25" ht="30" customHeight="1" x14ac:dyDescent="0.45">
      <c r="A34" s="12">
        <f>_xlfn.XLOOKUP(33,OfficialTeamList[Row],OfficialTeamList[Team Number],"ERROR",0)</f>
        <v>0</v>
      </c>
      <c r="B34" s="42" t="str">
        <f>_xlfn.XLOOKUP(CoreValuesResults[[#This Row],[Team Number]],OfficialTeamList[Team Number],OfficialTeamList[Team Name],"",0,)</f>
        <v/>
      </c>
      <c r="C34" s="87">
        <f>_xlfn.XLOOKUP(CoreValuesResults[[#This Row],[Team Number]],InnovationProjectResults[Team Number],InnovationProjectResults[Identify - Research (CV)])</f>
        <v>0</v>
      </c>
      <c r="D34" s="87">
        <f>_xlfn.XLOOKUP(CoreValuesResults[[#This Row],[Team Number]],InnovationProjectResults[Team Number],InnovationProjectResults[Design - Teamwork (CV)])</f>
        <v>0</v>
      </c>
      <c r="E34" s="87">
        <f>_xlfn.XLOOKUP(CoreValuesResults[[#This Row],[Team Number]],InnovationProjectResults[Team Number],InnovationProjectResults[Create - Innovation (CV)])</f>
        <v>0</v>
      </c>
      <c r="F34" s="87">
        <f>_xlfn.XLOOKUP(CoreValuesResults[[#This Row],[Team Number]],InnovationProjectResults[Team Number],InnovationProjectResults[Communicate - Impact (CV)])</f>
        <v>0</v>
      </c>
      <c r="G34" s="87">
        <f>_xlfn.XLOOKUP(CoreValuesResults[[#This Row],[Team Number]],InnovationProjectResults[Team Number],InnovationProjectResults[Communicate - Fun (CV)])</f>
        <v>0</v>
      </c>
      <c r="H34" s="87">
        <f>_xlfn.XLOOKUP(CoreValuesResults[[#This Row],[Team Number]],RobotDesignResults[Team Number],RobotDesignResults[Identify - Research (CV)])</f>
        <v>0</v>
      </c>
      <c r="I34" s="87">
        <f>_xlfn.XLOOKUP(CoreValuesResults[[#This Row],[Team Number]],RobotDesignResults[Team Number],RobotDesignResults[Design - Ideas (CV)])</f>
        <v>0</v>
      </c>
      <c r="J34" s="87">
        <f>_xlfn.XLOOKUP(CoreValuesResults[[#This Row],[Team Number]],RobotDesignResults[Team Number],RobotDesignResults[Iterate - Improvements (CV)])</f>
        <v>0</v>
      </c>
      <c r="K34" s="87">
        <f>_xlfn.XLOOKUP(CoreValuesResults[[#This Row],[Team Number]],RobotDesignResults[Team Number],RobotDesignResults[Communicate - Impact (CV)])</f>
        <v>0</v>
      </c>
      <c r="L34" s="87">
        <f>_xlfn.XLOOKUP(CoreValuesResults[[#This Row],[Team Number]],RobotDesignResults[Team Number],RobotDesignResults[Communicate - Fun (CV)])</f>
        <v>0</v>
      </c>
      <c r="M34" s="17"/>
      <c r="N34" s="17"/>
      <c r="O34" s="17"/>
      <c r="P34" s="17"/>
      <c r="Q34" s="17"/>
      <c r="R34" s="12" t="str">
        <f>IF(CoreValuesResults[[#This Row],[Gracious Professionalism 1]]="","",COUNTIF(CoreValuesResults[[#This Row],[Gracious Professionalism 1]:[Gracious Professionalism 5]],""))</f>
        <v/>
      </c>
      <c r="S34" s="12" t="str">
        <f>IF(CoreValuesResults[[#This Row],[Gracious Professionalism 1]]="","",SUM(CoreValuesResults[[#This Row],[Gracious Professionalism 1]:[Gracious Professionalism 5]]))</f>
        <v/>
      </c>
      <c r="T34"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34" s="81">
        <f>SUM(CoreValuesResults[[#This Row],[Discovery (IP)]:[Fun (RD)]],CoreValuesResults[[#This Row],[Gracious Professionalism Score]])</f>
        <v>0</v>
      </c>
      <c r="V34" s="43">
        <f>IF(CoreValuesResults[[#This Row],[Team Number]]&gt;0,MIN(_xlfn.RANK.EQ(CoreValuesResults[[#This Row],[Core Values Score]],CoreValuesResults[Core Values Score],0),NumberOfTeams),NumberOfTeams+1)</f>
        <v>1</v>
      </c>
      <c r="W34" s="82"/>
      <c r="X34" s="82"/>
      <c r="Y34" s="82"/>
    </row>
    <row r="35" spans="1:25" ht="30" customHeight="1" x14ac:dyDescent="0.45">
      <c r="A35" s="12">
        <f>_xlfn.XLOOKUP(34,OfficialTeamList[Row],OfficialTeamList[Team Number],"ERROR",0)</f>
        <v>0</v>
      </c>
      <c r="B35" s="42" t="str">
        <f>_xlfn.XLOOKUP(CoreValuesResults[[#This Row],[Team Number]],OfficialTeamList[Team Number],OfficialTeamList[Team Name],"",0,)</f>
        <v/>
      </c>
      <c r="C35" s="87">
        <f>_xlfn.XLOOKUP(CoreValuesResults[[#This Row],[Team Number]],InnovationProjectResults[Team Number],InnovationProjectResults[Identify - Research (CV)])</f>
        <v>0</v>
      </c>
      <c r="D35" s="87">
        <f>_xlfn.XLOOKUP(CoreValuesResults[[#This Row],[Team Number]],InnovationProjectResults[Team Number],InnovationProjectResults[Design - Teamwork (CV)])</f>
        <v>0</v>
      </c>
      <c r="E35" s="87">
        <f>_xlfn.XLOOKUP(CoreValuesResults[[#This Row],[Team Number]],InnovationProjectResults[Team Number],InnovationProjectResults[Create - Innovation (CV)])</f>
        <v>0</v>
      </c>
      <c r="F35" s="87">
        <f>_xlfn.XLOOKUP(CoreValuesResults[[#This Row],[Team Number]],InnovationProjectResults[Team Number],InnovationProjectResults[Communicate - Impact (CV)])</f>
        <v>0</v>
      </c>
      <c r="G35" s="87">
        <f>_xlfn.XLOOKUP(CoreValuesResults[[#This Row],[Team Number]],InnovationProjectResults[Team Number],InnovationProjectResults[Communicate - Fun (CV)])</f>
        <v>0</v>
      </c>
      <c r="H35" s="87">
        <f>_xlfn.XLOOKUP(CoreValuesResults[[#This Row],[Team Number]],RobotDesignResults[Team Number],RobotDesignResults[Identify - Research (CV)])</f>
        <v>0</v>
      </c>
      <c r="I35" s="87">
        <f>_xlfn.XLOOKUP(CoreValuesResults[[#This Row],[Team Number]],RobotDesignResults[Team Number],RobotDesignResults[Design - Ideas (CV)])</f>
        <v>0</v>
      </c>
      <c r="J35" s="87">
        <f>_xlfn.XLOOKUP(CoreValuesResults[[#This Row],[Team Number]],RobotDesignResults[Team Number],RobotDesignResults[Iterate - Improvements (CV)])</f>
        <v>0</v>
      </c>
      <c r="K35" s="87">
        <f>_xlfn.XLOOKUP(CoreValuesResults[[#This Row],[Team Number]],RobotDesignResults[Team Number],RobotDesignResults[Communicate - Impact (CV)])</f>
        <v>0</v>
      </c>
      <c r="L35" s="87">
        <f>_xlfn.XLOOKUP(CoreValuesResults[[#This Row],[Team Number]],RobotDesignResults[Team Number],RobotDesignResults[Communicate - Fun (CV)])</f>
        <v>0</v>
      </c>
      <c r="M35" s="17"/>
      <c r="N35" s="17"/>
      <c r="O35" s="17"/>
      <c r="P35" s="17"/>
      <c r="Q35" s="17"/>
      <c r="R35" s="12" t="str">
        <f>IF(CoreValuesResults[[#This Row],[Gracious Professionalism 1]]="","",COUNTIF(CoreValuesResults[[#This Row],[Gracious Professionalism 1]:[Gracious Professionalism 5]],""))</f>
        <v/>
      </c>
      <c r="S35" s="12" t="str">
        <f>IF(CoreValuesResults[[#This Row],[Gracious Professionalism 1]]="","",SUM(CoreValuesResults[[#This Row],[Gracious Professionalism 1]:[Gracious Professionalism 5]]))</f>
        <v/>
      </c>
      <c r="T35"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35" s="81">
        <f>SUM(CoreValuesResults[[#This Row],[Discovery (IP)]:[Fun (RD)]],CoreValuesResults[[#This Row],[Gracious Professionalism Score]])</f>
        <v>0</v>
      </c>
      <c r="V35" s="43">
        <f>IF(CoreValuesResults[[#This Row],[Team Number]]&gt;0,MIN(_xlfn.RANK.EQ(CoreValuesResults[[#This Row],[Core Values Score]],CoreValuesResults[Core Values Score],0),NumberOfTeams),NumberOfTeams+1)</f>
        <v>1</v>
      </c>
      <c r="W35" s="82"/>
      <c r="X35" s="82"/>
      <c r="Y35" s="82"/>
    </row>
    <row r="36" spans="1:25" ht="30" customHeight="1" x14ac:dyDescent="0.45">
      <c r="A36" s="12">
        <f>_xlfn.XLOOKUP(35,OfficialTeamList[Row],OfficialTeamList[Team Number],"ERROR",0)</f>
        <v>0</v>
      </c>
      <c r="B36" s="42" t="str">
        <f>_xlfn.XLOOKUP(CoreValuesResults[[#This Row],[Team Number]],OfficialTeamList[Team Number],OfficialTeamList[Team Name],"",0,)</f>
        <v/>
      </c>
      <c r="C36" s="87">
        <f>_xlfn.XLOOKUP(CoreValuesResults[[#This Row],[Team Number]],InnovationProjectResults[Team Number],InnovationProjectResults[Identify - Research (CV)])</f>
        <v>0</v>
      </c>
      <c r="D36" s="87">
        <f>_xlfn.XLOOKUP(CoreValuesResults[[#This Row],[Team Number]],InnovationProjectResults[Team Number],InnovationProjectResults[Design - Teamwork (CV)])</f>
        <v>0</v>
      </c>
      <c r="E36" s="87">
        <f>_xlfn.XLOOKUP(CoreValuesResults[[#This Row],[Team Number]],InnovationProjectResults[Team Number],InnovationProjectResults[Create - Innovation (CV)])</f>
        <v>0</v>
      </c>
      <c r="F36" s="87">
        <f>_xlfn.XLOOKUP(CoreValuesResults[[#This Row],[Team Number]],InnovationProjectResults[Team Number],InnovationProjectResults[Communicate - Impact (CV)])</f>
        <v>0</v>
      </c>
      <c r="G36" s="87">
        <f>_xlfn.XLOOKUP(CoreValuesResults[[#This Row],[Team Number]],InnovationProjectResults[Team Number],InnovationProjectResults[Communicate - Fun (CV)])</f>
        <v>0</v>
      </c>
      <c r="H36" s="87">
        <f>_xlfn.XLOOKUP(CoreValuesResults[[#This Row],[Team Number]],RobotDesignResults[Team Number],RobotDesignResults[Identify - Research (CV)])</f>
        <v>0</v>
      </c>
      <c r="I36" s="87">
        <f>_xlfn.XLOOKUP(CoreValuesResults[[#This Row],[Team Number]],RobotDesignResults[Team Number],RobotDesignResults[Design - Ideas (CV)])</f>
        <v>0</v>
      </c>
      <c r="J36" s="87">
        <f>_xlfn.XLOOKUP(CoreValuesResults[[#This Row],[Team Number]],RobotDesignResults[Team Number],RobotDesignResults[Iterate - Improvements (CV)])</f>
        <v>0</v>
      </c>
      <c r="K36" s="87">
        <f>_xlfn.XLOOKUP(CoreValuesResults[[#This Row],[Team Number]],RobotDesignResults[Team Number],RobotDesignResults[Communicate - Impact (CV)])</f>
        <v>0</v>
      </c>
      <c r="L36" s="87">
        <f>_xlfn.XLOOKUP(CoreValuesResults[[#This Row],[Team Number]],RobotDesignResults[Team Number],RobotDesignResults[Communicate - Fun (CV)])</f>
        <v>0</v>
      </c>
      <c r="M36" s="17"/>
      <c r="N36" s="17"/>
      <c r="O36" s="17"/>
      <c r="P36" s="17"/>
      <c r="Q36" s="17"/>
      <c r="R36" s="12" t="str">
        <f>IF(CoreValuesResults[[#This Row],[Gracious Professionalism 1]]="","",COUNTIF(CoreValuesResults[[#This Row],[Gracious Professionalism 1]:[Gracious Professionalism 5]],""))</f>
        <v/>
      </c>
      <c r="S36" s="12" t="str">
        <f>IF(CoreValuesResults[[#This Row],[Gracious Professionalism 1]]="","",SUM(CoreValuesResults[[#This Row],[Gracious Professionalism 1]:[Gracious Professionalism 5]]))</f>
        <v/>
      </c>
      <c r="T36"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36" s="81">
        <f>SUM(CoreValuesResults[[#This Row],[Discovery (IP)]:[Fun (RD)]],CoreValuesResults[[#This Row],[Gracious Professionalism Score]])</f>
        <v>0</v>
      </c>
      <c r="V36" s="43">
        <f>IF(CoreValuesResults[[#This Row],[Team Number]]&gt;0,MIN(_xlfn.RANK.EQ(CoreValuesResults[[#This Row],[Core Values Score]],CoreValuesResults[Core Values Score],0),NumberOfTeams),NumberOfTeams+1)</f>
        <v>1</v>
      </c>
      <c r="W36" s="82"/>
      <c r="X36" s="82"/>
      <c r="Y36" s="82"/>
    </row>
    <row r="37" spans="1:25" ht="30" customHeight="1" x14ac:dyDescent="0.45">
      <c r="A37" s="12">
        <f>_xlfn.XLOOKUP(36,OfficialTeamList[Row],OfficialTeamList[Team Number],"ERROR",0)</f>
        <v>0</v>
      </c>
      <c r="B37" s="42" t="str">
        <f>_xlfn.XLOOKUP(CoreValuesResults[[#This Row],[Team Number]],OfficialTeamList[Team Number],OfficialTeamList[Team Name],"",0,)</f>
        <v/>
      </c>
      <c r="C37" s="87">
        <f>_xlfn.XLOOKUP(CoreValuesResults[[#This Row],[Team Number]],InnovationProjectResults[Team Number],InnovationProjectResults[Identify - Research (CV)])</f>
        <v>0</v>
      </c>
      <c r="D37" s="87">
        <f>_xlfn.XLOOKUP(CoreValuesResults[[#This Row],[Team Number]],InnovationProjectResults[Team Number],InnovationProjectResults[Design - Teamwork (CV)])</f>
        <v>0</v>
      </c>
      <c r="E37" s="87">
        <f>_xlfn.XLOOKUP(CoreValuesResults[[#This Row],[Team Number]],InnovationProjectResults[Team Number],InnovationProjectResults[Create - Innovation (CV)])</f>
        <v>0</v>
      </c>
      <c r="F37" s="87">
        <f>_xlfn.XLOOKUP(CoreValuesResults[[#This Row],[Team Number]],InnovationProjectResults[Team Number],InnovationProjectResults[Communicate - Impact (CV)])</f>
        <v>0</v>
      </c>
      <c r="G37" s="87">
        <f>_xlfn.XLOOKUP(CoreValuesResults[[#This Row],[Team Number]],InnovationProjectResults[Team Number],InnovationProjectResults[Communicate - Fun (CV)])</f>
        <v>0</v>
      </c>
      <c r="H37" s="87">
        <f>_xlfn.XLOOKUP(CoreValuesResults[[#This Row],[Team Number]],RobotDesignResults[Team Number],RobotDesignResults[Identify - Research (CV)])</f>
        <v>0</v>
      </c>
      <c r="I37" s="87">
        <f>_xlfn.XLOOKUP(CoreValuesResults[[#This Row],[Team Number]],RobotDesignResults[Team Number],RobotDesignResults[Design - Ideas (CV)])</f>
        <v>0</v>
      </c>
      <c r="J37" s="87">
        <f>_xlfn.XLOOKUP(CoreValuesResults[[#This Row],[Team Number]],RobotDesignResults[Team Number],RobotDesignResults[Iterate - Improvements (CV)])</f>
        <v>0</v>
      </c>
      <c r="K37" s="87">
        <f>_xlfn.XLOOKUP(CoreValuesResults[[#This Row],[Team Number]],RobotDesignResults[Team Number],RobotDesignResults[Communicate - Impact (CV)])</f>
        <v>0</v>
      </c>
      <c r="L37" s="87">
        <f>_xlfn.XLOOKUP(CoreValuesResults[[#This Row],[Team Number]],RobotDesignResults[Team Number],RobotDesignResults[Communicate - Fun (CV)])</f>
        <v>0</v>
      </c>
      <c r="M37" s="17"/>
      <c r="N37" s="17"/>
      <c r="O37" s="17"/>
      <c r="P37" s="17"/>
      <c r="Q37" s="17"/>
      <c r="R37" s="12" t="str">
        <f>IF(CoreValuesResults[[#This Row],[Gracious Professionalism 1]]="","",COUNTIF(CoreValuesResults[[#This Row],[Gracious Professionalism 1]:[Gracious Professionalism 5]],""))</f>
        <v/>
      </c>
      <c r="S37" s="12" t="str">
        <f>IF(CoreValuesResults[[#This Row],[Gracious Professionalism 1]]="","",SUM(CoreValuesResults[[#This Row],[Gracious Professionalism 1]:[Gracious Professionalism 5]]))</f>
        <v/>
      </c>
      <c r="T37"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37" s="81">
        <f>SUM(CoreValuesResults[[#This Row],[Discovery (IP)]:[Fun (RD)]],CoreValuesResults[[#This Row],[Gracious Professionalism Score]])</f>
        <v>0</v>
      </c>
      <c r="V37" s="43">
        <f>IF(CoreValuesResults[[#This Row],[Team Number]]&gt;0,MIN(_xlfn.RANK.EQ(CoreValuesResults[[#This Row],[Core Values Score]],CoreValuesResults[Core Values Score],0),NumberOfTeams),NumberOfTeams+1)</f>
        <v>1</v>
      </c>
      <c r="W37" s="82"/>
      <c r="X37" s="82"/>
      <c r="Y37" s="82"/>
    </row>
    <row r="38" spans="1:25" ht="30" customHeight="1" x14ac:dyDescent="0.45">
      <c r="A38" s="12">
        <f>_xlfn.XLOOKUP(37,OfficialTeamList[Row],OfficialTeamList[Team Number],"ERROR",0)</f>
        <v>0</v>
      </c>
      <c r="B38" s="42" t="str">
        <f>_xlfn.XLOOKUP(CoreValuesResults[[#This Row],[Team Number]],OfficialTeamList[Team Number],OfficialTeamList[Team Name],"",0,)</f>
        <v/>
      </c>
      <c r="C38" s="87">
        <f>_xlfn.XLOOKUP(CoreValuesResults[[#This Row],[Team Number]],InnovationProjectResults[Team Number],InnovationProjectResults[Identify - Research (CV)])</f>
        <v>0</v>
      </c>
      <c r="D38" s="87">
        <f>_xlfn.XLOOKUP(CoreValuesResults[[#This Row],[Team Number]],InnovationProjectResults[Team Number],InnovationProjectResults[Design - Teamwork (CV)])</f>
        <v>0</v>
      </c>
      <c r="E38" s="87">
        <f>_xlfn.XLOOKUP(CoreValuesResults[[#This Row],[Team Number]],InnovationProjectResults[Team Number],InnovationProjectResults[Create - Innovation (CV)])</f>
        <v>0</v>
      </c>
      <c r="F38" s="87">
        <f>_xlfn.XLOOKUP(CoreValuesResults[[#This Row],[Team Number]],InnovationProjectResults[Team Number],InnovationProjectResults[Communicate - Impact (CV)])</f>
        <v>0</v>
      </c>
      <c r="G38" s="87">
        <f>_xlfn.XLOOKUP(CoreValuesResults[[#This Row],[Team Number]],InnovationProjectResults[Team Number],InnovationProjectResults[Communicate - Fun (CV)])</f>
        <v>0</v>
      </c>
      <c r="H38" s="87">
        <f>_xlfn.XLOOKUP(CoreValuesResults[[#This Row],[Team Number]],RobotDesignResults[Team Number],RobotDesignResults[Identify - Research (CV)])</f>
        <v>0</v>
      </c>
      <c r="I38" s="87">
        <f>_xlfn.XLOOKUP(CoreValuesResults[[#This Row],[Team Number]],RobotDesignResults[Team Number],RobotDesignResults[Design - Ideas (CV)])</f>
        <v>0</v>
      </c>
      <c r="J38" s="87">
        <f>_xlfn.XLOOKUP(CoreValuesResults[[#This Row],[Team Number]],RobotDesignResults[Team Number],RobotDesignResults[Iterate - Improvements (CV)])</f>
        <v>0</v>
      </c>
      <c r="K38" s="87">
        <f>_xlfn.XLOOKUP(CoreValuesResults[[#This Row],[Team Number]],RobotDesignResults[Team Number],RobotDesignResults[Communicate - Impact (CV)])</f>
        <v>0</v>
      </c>
      <c r="L38" s="87">
        <f>_xlfn.XLOOKUP(CoreValuesResults[[#This Row],[Team Number]],RobotDesignResults[Team Number],RobotDesignResults[Communicate - Fun (CV)])</f>
        <v>0</v>
      </c>
      <c r="M38" s="17"/>
      <c r="N38" s="17"/>
      <c r="O38" s="17"/>
      <c r="P38" s="17"/>
      <c r="Q38" s="17"/>
      <c r="R38" s="12" t="str">
        <f>IF(CoreValuesResults[[#This Row],[Gracious Professionalism 1]]="","",COUNTIF(CoreValuesResults[[#This Row],[Gracious Professionalism 1]:[Gracious Professionalism 5]],""))</f>
        <v/>
      </c>
      <c r="S38" s="12" t="str">
        <f>IF(CoreValuesResults[[#This Row],[Gracious Professionalism 1]]="","",SUM(CoreValuesResults[[#This Row],[Gracious Professionalism 1]:[Gracious Professionalism 5]]))</f>
        <v/>
      </c>
      <c r="T38"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38" s="81">
        <f>SUM(CoreValuesResults[[#This Row],[Discovery (IP)]:[Fun (RD)]],CoreValuesResults[[#This Row],[Gracious Professionalism Score]])</f>
        <v>0</v>
      </c>
      <c r="V38" s="43">
        <f>IF(CoreValuesResults[[#This Row],[Team Number]]&gt;0,MIN(_xlfn.RANK.EQ(CoreValuesResults[[#This Row],[Core Values Score]],CoreValuesResults[Core Values Score],0),NumberOfTeams),NumberOfTeams+1)</f>
        <v>1</v>
      </c>
      <c r="W38" s="82"/>
      <c r="X38" s="82"/>
      <c r="Y38" s="82"/>
    </row>
    <row r="39" spans="1:25" ht="30" customHeight="1" x14ac:dyDescent="0.45">
      <c r="A39" s="12">
        <f>_xlfn.XLOOKUP(38,OfficialTeamList[Row],OfficialTeamList[Team Number],"ERROR",0)</f>
        <v>0</v>
      </c>
      <c r="B39" s="42" t="str">
        <f>_xlfn.XLOOKUP(CoreValuesResults[[#This Row],[Team Number]],OfficialTeamList[Team Number],OfficialTeamList[Team Name],"",0,)</f>
        <v/>
      </c>
      <c r="C39" s="87">
        <f>_xlfn.XLOOKUP(CoreValuesResults[[#This Row],[Team Number]],InnovationProjectResults[Team Number],InnovationProjectResults[Identify - Research (CV)])</f>
        <v>0</v>
      </c>
      <c r="D39" s="87">
        <f>_xlfn.XLOOKUP(CoreValuesResults[[#This Row],[Team Number]],InnovationProjectResults[Team Number],InnovationProjectResults[Design - Teamwork (CV)])</f>
        <v>0</v>
      </c>
      <c r="E39" s="87">
        <f>_xlfn.XLOOKUP(CoreValuesResults[[#This Row],[Team Number]],InnovationProjectResults[Team Number],InnovationProjectResults[Create - Innovation (CV)])</f>
        <v>0</v>
      </c>
      <c r="F39" s="87">
        <f>_xlfn.XLOOKUP(CoreValuesResults[[#This Row],[Team Number]],InnovationProjectResults[Team Number],InnovationProjectResults[Communicate - Impact (CV)])</f>
        <v>0</v>
      </c>
      <c r="G39" s="87">
        <f>_xlfn.XLOOKUP(CoreValuesResults[[#This Row],[Team Number]],InnovationProjectResults[Team Number],InnovationProjectResults[Communicate - Fun (CV)])</f>
        <v>0</v>
      </c>
      <c r="H39" s="87">
        <f>_xlfn.XLOOKUP(CoreValuesResults[[#This Row],[Team Number]],RobotDesignResults[Team Number],RobotDesignResults[Identify - Research (CV)])</f>
        <v>0</v>
      </c>
      <c r="I39" s="87">
        <f>_xlfn.XLOOKUP(CoreValuesResults[[#This Row],[Team Number]],RobotDesignResults[Team Number],RobotDesignResults[Design - Ideas (CV)])</f>
        <v>0</v>
      </c>
      <c r="J39" s="87">
        <f>_xlfn.XLOOKUP(CoreValuesResults[[#This Row],[Team Number]],RobotDesignResults[Team Number],RobotDesignResults[Iterate - Improvements (CV)])</f>
        <v>0</v>
      </c>
      <c r="K39" s="87">
        <f>_xlfn.XLOOKUP(CoreValuesResults[[#This Row],[Team Number]],RobotDesignResults[Team Number],RobotDesignResults[Communicate - Impact (CV)])</f>
        <v>0</v>
      </c>
      <c r="L39" s="87">
        <f>_xlfn.XLOOKUP(CoreValuesResults[[#This Row],[Team Number]],RobotDesignResults[Team Number],RobotDesignResults[Communicate - Fun (CV)])</f>
        <v>0</v>
      </c>
      <c r="M39" s="17"/>
      <c r="N39" s="17"/>
      <c r="O39" s="17"/>
      <c r="P39" s="17"/>
      <c r="Q39" s="17"/>
      <c r="R39" s="12" t="str">
        <f>IF(CoreValuesResults[[#This Row],[Gracious Professionalism 1]]="","",COUNTIF(CoreValuesResults[[#This Row],[Gracious Professionalism 1]:[Gracious Professionalism 5]],""))</f>
        <v/>
      </c>
      <c r="S39" s="12" t="str">
        <f>IF(CoreValuesResults[[#This Row],[Gracious Professionalism 1]]="","",SUM(CoreValuesResults[[#This Row],[Gracious Professionalism 1]:[Gracious Professionalism 5]]))</f>
        <v/>
      </c>
      <c r="T39"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39" s="81">
        <f>SUM(CoreValuesResults[[#This Row],[Discovery (IP)]:[Fun (RD)]],CoreValuesResults[[#This Row],[Gracious Professionalism Score]])</f>
        <v>0</v>
      </c>
      <c r="V39" s="43">
        <f>IF(CoreValuesResults[[#This Row],[Team Number]]&gt;0,MIN(_xlfn.RANK.EQ(CoreValuesResults[[#This Row],[Core Values Score]],CoreValuesResults[Core Values Score],0),NumberOfTeams),NumberOfTeams+1)</f>
        <v>1</v>
      </c>
      <c r="W39" s="82"/>
      <c r="X39" s="82"/>
      <c r="Y39" s="82"/>
    </row>
    <row r="40" spans="1:25" ht="30" customHeight="1" x14ac:dyDescent="0.45">
      <c r="A40" s="12">
        <f>_xlfn.XLOOKUP(39,OfficialTeamList[Row],OfficialTeamList[Team Number],"ERROR",0)</f>
        <v>0</v>
      </c>
      <c r="B40" s="42" t="str">
        <f>_xlfn.XLOOKUP(CoreValuesResults[[#This Row],[Team Number]],OfficialTeamList[Team Number],OfficialTeamList[Team Name],"",0,)</f>
        <v/>
      </c>
      <c r="C40" s="87">
        <f>_xlfn.XLOOKUP(CoreValuesResults[[#This Row],[Team Number]],InnovationProjectResults[Team Number],InnovationProjectResults[Identify - Research (CV)])</f>
        <v>0</v>
      </c>
      <c r="D40" s="87">
        <f>_xlfn.XLOOKUP(CoreValuesResults[[#This Row],[Team Number]],InnovationProjectResults[Team Number],InnovationProjectResults[Design - Teamwork (CV)])</f>
        <v>0</v>
      </c>
      <c r="E40" s="87">
        <f>_xlfn.XLOOKUP(CoreValuesResults[[#This Row],[Team Number]],InnovationProjectResults[Team Number],InnovationProjectResults[Create - Innovation (CV)])</f>
        <v>0</v>
      </c>
      <c r="F40" s="87">
        <f>_xlfn.XLOOKUP(CoreValuesResults[[#This Row],[Team Number]],InnovationProjectResults[Team Number],InnovationProjectResults[Communicate - Impact (CV)])</f>
        <v>0</v>
      </c>
      <c r="G40" s="87">
        <f>_xlfn.XLOOKUP(CoreValuesResults[[#This Row],[Team Number]],InnovationProjectResults[Team Number],InnovationProjectResults[Communicate - Fun (CV)])</f>
        <v>0</v>
      </c>
      <c r="H40" s="87">
        <f>_xlfn.XLOOKUP(CoreValuesResults[[#This Row],[Team Number]],RobotDesignResults[Team Number],RobotDesignResults[Identify - Research (CV)])</f>
        <v>0</v>
      </c>
      <c r="I40" s="87">
        <f>_xlfn.XLOOKUP(CoreValuesResults[[#This Row],[Team Number]],RobotDesignResults[Team Number],RobotDesignResults[Design - Ideas (CV)])</f>
        <v>0</v>
      </c>
      <c r="J40" s="87">
        <f>_xlfn.XLOOKUP(CoreValuesResults[[#This Row],[Team Number]],RobotDesignResults[Team Number],RobotDesignResults[Iterate - Improvements (CV)])</f>
        <v>0</v>
      </c>
      <c r="K40" s="87">
        <f>_xlfn.XLOOKUP(CoreValuesResults[[#This Row],[Team Number]],RobotDesignResults[Team Number],RobotDesignResults[Communicate - Impact (CV)])</f>
        <v>0</v>
      </c>
      <c r="L40" s="87">
        <f>_xlfn.XLOOKUP(CoreValuesResults[[#This Row],[Team Number]],RobotDesignResults[Team Number],RobotDesignResults[Communicate - Fun (CV)])</f>
        <v>0</v>
      </c>
      <c r="M40" s="17"/>
      <c r="N40" s="17"/>
      <c r="O40" s="17"/>
      <c r="P40" s="17"/>
      <c r="Q40" s="17"/>
      <c r="R40" s="12" t="str">
        <f>IF(CoreValuesResults[[#This Row],[Gracious Professionalism 1]]="","",COUNTIF(CoreValuesResults[[#This Row],[Gracious Professionalism 1]:[Gracious Professionalism 5]],""))</f>
        <v/>
      </c>
      <c r="S40" s="12" t="str">
        <f>IF(CoreValuesResults[[#This Row],[Gracious Professionalism 1]]="","",SUM(CoreValuesResults[[#This Row],[Gracious Professionalism 1]:[Gracious Professionalism 5]]))</f>
        <v/>
      </c>
      <c r="T40"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40" s="81">
        <f>SUM(CoreValuesResults[[#This Row],[Discovery (IP)]:[Fun (RD)]],CoreValuesResults[[#This Row],[Gracious Professionalism Score]])</f>
        <v>0</v>
      </c>
      <c r="V40" s="43">
        <f>IF(CoreValuesResults[[#This Row],[Team Number]]&gt;0,MIN(_xlfn.RANK.EQ(CoreValuesResults[[#This Row],[Core Values Score]],CoreValuesResults[Core Values Score],0),NumberOfTeams),NumberOfTeams+1)</f>
        <v>1</v>
      </c>
      <c r="W40" s="82"/>
      <c r="X40" s="82"/>
      <c r="Y40" s="82"/>
    </row>
    <row r="41" spans="1:25" ht="30" customHeight="1" x14ac:dyDescent="0.45">
      <c r="A41" s="12">
        <f>_xlfn.XLOOKUP(40,OfficialTeamList[Row],OfficialTeamList[Team Number],"ERROR",0)</f>
        <v>0</v>
      </c>
      <c r="B41" s="42" t="str">
        <f>_xlfn.XLOOKUP(CoreValuesResults[[#This Row],[Team Number]],OfficialTeamList[Team Number],OfficialTeamList[Team Name],"",0,)</f>
        <v/>
      </c>
      <c r="C41" s="87">
        <f>_xlfn.XLOOKUP(CoreValuesResults[[#This Row],[Team Number]],InnovationProjectResults[Team Number],InnovationProjectResults[Identify - Research (CV)])</f>
        <v>0</v>
      </c>
      <c r="D41" s="87">
        <f>_xlfn.XLOOKUP(CoreValuesResults[[#This Row],[Team Number]],InnovationProjectResults[Team Number],InnovationProjectResults[Design - Teamwork (CV)])</f>
        <v>0</v>
      </c>
      <c r="E41" s="87">
        <f>_xlfn.XLOOKUP(CoreValuesResults[[#This Row],[Team Number]],InnovationProjectResults[Team Number],InnovationProjectResults[Create - Innovation (CV)])</f>
        <v>0</v>
      </c>
      <c r="F41" s="87">
        <f>_xlfn.XLOOKUP(CoreValuesResults[[#This Row],[Team Number]],InnovationProjectResults[Team Number],InnovationProjectResults[Communicate - Impact (CV)])</f>
        <v>0</v>
      </c>
      <c r="G41" s="87">
        <f>_xlfn.XLOOKUP(CoreValuesResults[[#This Row],[Team Number]],InnovationProjectResults[Team Number],InnovationProjectResults[Communicate - Fun (CV)])</f>
        <v>0</v>
      </c>
      <c r="H41" s="87">
        <f>_xlfn.XLOOKUP(CoreValuesResults[[#This Row],[Team Number]],RobotDesignResults[Team Number],RobotDesignResults[Identify - Research (CV)])</f>
        <v>0</v>
      </c>
      <c r="I41" s="87">
        <f>_xlfn.XLOOKUP(CoreValuesResults[[#This Row],[Team Number]],RobotDesignResults[Team Number],RobotDesignResults[Design - Ideas (CV)])</f>
        <v>0</v>
      </c>
      <c r="J41" s="87">
        <f>_xlfn.XLOOKUP(CoreValuesResults[[#This Row],[Team Number]],RobotDesignResults[Team Number],RobotDesignResults[Iterate - Improvements (CV)])</f>
        <v>0</v>
      </c>
      <c r="K41" s="87">
        <f>_xlfn.XLOOKUP(CoreValuesResults[[#This Row],[Team Number]],RobotDesignResults[Team Number],RobotDesignResults[Communicate - Impact (CV)])</f>
        <v>0</v>
      </c>
      <c r="L41" s="87">
        <f>_xlfn.XLOOKUP(CoreValuesResults[[#This Row],[Team Number]],RobotDesignResults[Team Number],RobotDesignResults[Communicate - Fun (CV)])</f>
        <v>0</v>
      </c>
      <c r="M41" s="17"/>
      <c r="N41" s="17"/>
      <c r="O41" s="17"/>
      <c r="P41" s="17"/>
      <c r="Q41" s="17"/>
      <c r="R41" s="12" t="str">
        <f>IF(CoreValuesResults[[#This Row],[Gracious Professionalism 1]]="","",COUNTIF(CoreValuesResults[[#This Row],[Gracious Professionalism 1]:[Gracious Professionalism 5]],""))</f>
        <v/>
      </c>
      <c r="S41" s="12" t="str">
        <f>IF(CoreValuesResults[[#This Row],[Gracious Professionalism 1]]="","",SUM(CoreValuesResults[[#This Row],[Gracious Professionalism 1]:[Gracious Professionalism 5]]))</f>
        <v/>
      </c>
      <c r="T41"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41" s="81">
        <f>SUM(CoreValuesResults[[#This Row],[Discovery (IP)]:[Fun (RD)]],CoreValuesResults[[#This Row],[Gracious Professionalism Score]])</f>
        <v>0</v>
      </c>
      <c r="V41" s="43">
        <f>IF(CoreValuesResults[[#This Row],[Team Number]]&gt;0,MIN(_xlfn.RANK.EQ(CoreValuesResults[[#This Row],[Core Values Score]],CoreValuesResults[Core Values Score],0),NumberOfTeams),NumberOfTeams+1)</f>
        <v>1</v>
      </c>
      <c r="W41" s="82"/>
      <c r="X41" s="82"/>
      <c r="Y41" s="82"/>
    </row>
    <row r="42" spans="1:25" ht="30" customHeight="1" x14ac:dyDescent="0.45">
      <c r="A42" s="12">
        <f>_xlfn.XLOOKUP(41,OfficialTeamList[Row],OfficialTeamList[Team Number],"ERROR",0)</f>
        <v>0</v>
      </c>
      <c r="B42" s="42" t="str">
        <f>_xlfn.XLOOKUP(CoreValuesResults[[#This Row],[Team Number]],OfficialTeamList[Team Number],OfficialTeamList[Team Name],"",0,)</f>
        <v/>
      </c>
      <c r="C42" s="87">
        <f>_xlfn.XLOOKUP(CoreValuesResults[[#This Row],[Team Number]],InnovationProjectResults[Team Number],InnovationProjectResults[Identify - Research (CV)])</f>
        <v>0</v>
      </c>
      <c r="D42" s="87">
        <f>_xlfn.XLOOKUP(CoreValuesResults[[#This Row],[Team Number]],InnovationProjectResults[Team Number],InnovationProjectResults[Design - Teamwork (CV)])</f>
        <v>0</v>
      </c>
      <c r="E42" s="87">
        <f>_xlfn.XLOOKUP(CoreValuesResults[[#This Row],[Team Number]],InnovationProjectResults[Team Number],InnovationProjectResults[Create - Innovation (CV)])</f>
        <v>0</v>
      </c>
      <c r="F42" s="87">
        <f>_xlfn.XLOOKUP(CoreValuesResults[[#This Row],[Team Number]],InnovationProjectResults[Team Number],InnovationProjectResults[Communicate - Impact (CV)])</f>
        <v>0</v>
      </c>
      <c r="G42" s="87">
        <f>_xlfn.XLOOKUP(CoreValuesResults[[#This Row],[Team Number]],InnovationProjectResults[Team Number],InnovationProjectResults[Communicate - Fun (CV)])</f>
        <v>0</v>
      </c>
      <c r="H42" s="87">
        <f>_xlfn.XLOOKUP(CoreValuesResults[[#This Row],[Team Number]],RobotDesignResults[Team Number],RobotDesignResults[Identify - Research (CV)])</f>
        <v>0</v>
      </c>
      <c r="I42" s="87">
        <f>_xlfn.XLOOKUP(CoreValuesResults[[#This Row],[Team Number]],RobotDesignResults[Team Number],RobotDesignResults[Design - Ideas (CV)])</f>
        <v>0</v>
      </c>
      <c r="J42" s="87">
        <f>_xlfn.XLOOKUP(CoreValuesResults[[#This Row],[Team Number]],RobotDesignResults[Team Number],RobotDesignResults[Iterate - Improvements (CV)])</f>
        <v>0</v>
      </c>
      <c r="K42" s="87">
        <f>_xlfn.XLOOKUP(CoreValuesResults[[#This Row],[Team Number]],RobotDesignResults[Team Number],RobotDesignResults[Communicate - Impact (CV)])</f>
        <v>0</v>
      </c>
      <c r="L42" s="87">
        <f>_xlfn.XLOOKUP(CoreValuesResults[[#This Row],[Team Number]],RobotDesignResults[Team Number],RobotDesignResults[Communicate - Fun (CV)])</f>
        <v>0</v>
      </c>
      <c r="M42" s="17"/>
      <c r="N42" s="17"/>
      <c r="O42" s="17"/>
      <c r="P42" s="17"/>
      <c r="Q42" s="17"/>
      <c r="R42" s="12" t="str">
        <f>IF(CoreValuesResults[[#This Row],[Gracious Professionalism 1]]="","",COUNTIF(CoreValuesResults[[#This Row],[Gracious Professionalism 1]:[Gracious Professionalism 5]],""))</f>
        <v/>
      </c>
      <c r="S42" s="12" t="str">
        <f>IF(CoreValuesResults[[#This Row],[Gracious Professionalism 1]]="","",SUM(CoreValuesResults[[#This Row],[Gracious Professionalism 1]:[Gracious Professionalism 5]]))</f>
        <v/>
      </c>
      <c r="T42"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42" s="81">
        <f>SUM(CoreValuesResults[[#This Row],[Discovery (IP)]:[Fun (RD)]],CoreValuesResults[[#This Row],[Gracious Professionalism Score]])</f>
        <v>0</v>
      </c>
      <c r="V42" s="43">
        <f>IF(CoreValuesResults[[#This Row],[Team Number]]&gt;0,MIN(_xlfn.RANK.EQ(CoreValuesResults[[#This Row],[Core Values Score]],CoreValuesResults[Core Values Score],0),NumberOfTeams),NumberOfTeams+1)</f>
        <v>1</v>
      </c>
      <c r="W42" s="82"/>
      <c r="X42" s="82"/>
      <c r="Y42" s="82"/>
    </row>
    <row r="43" spans="1:25" ht="30" customHeight="1" x14ac:dyDescent="0.45">
      <c r="A43" s="12">
        <f>_xlfn.XLOOKUP(42,OfficialTeamList[Row],OfficialTeamList[Team Number],"ERROR",0)</f>
        <v>0</v>
      </c>
      <c r="B43" s="42" t="str">
        <f>_xlfn.XLOOKUP(CoreValuesResults[[#This Row],[Team Number]],OfficialTeamList[Team Number],OfficialTeamList[Team Name],"",0,)</f>
        <v/>
      </c>
      <c r="C43" s="87">
        <f>_xlfn.XLOOKUP(CoreValuesResults[[#This Row],[Team Number]],InnovationProjectResults[Team Number],InnovationProjectResults[Identify - Research (CV)])</f>
        <v>0</v>
      </c>
      <c r="D43" s="87">
        <f>_xlfn.XLOOKUP(CoreValuesResults[[#This Row],[Team Number]],InnovationProjectResults[Team Number],InnovationProjectResults[Design - Teamwork (CV)])</f>
        <v>0</v>
      </c>
      <c r="E43" s="87">
        <f>_xlfn.XLOOKUP(CoreValuesResults[[#This Row],[Team Number]],InnovationProjectResults[Team Number],InnovationProjectResults[Create - Innovation (CV)])</f>
        <v>0</v>
      </c>
      <c r="F43" s="87">
        <f>_xlfn.XLOOKUP(CoreValuesResults[[#This Row],[Team Number]],InnovationProjectResults[Team Number],InnovationProjectResults[Communicate - Impact (CV)])</f>
        <v>0</v>
      </c>
      <c r="G43" s="87">
        <f>_xlfn.XLOOKUP(CoreValuesResults[[#This Row],[Team Number]],InnovationProjectResults[Team Number],InnovationProjectResults[Communicate - Fun (CV)])</f>
        <v>0</v>
      </c>
      <c r="H43" s="87">
        <f>_xlfn.XLOOKUP(CoreValuesResults[[#This Row],[Team Number]],RobotDesignResults[Team Number],RobotDesignResults[Identify - Research (CV)])</f>
        <v>0</v>
      </c>
      <c r="I43" s="87">
        <f>_xlfn.XLOOKUP(CoreValuesResults[[#This Row],[Team Number]],RobotDesignResults[Team Number],RobotDesignResults[Design - Ideas (CV)])</f>
        <v>0</v>
      </c>
      <c r="J43" s="87">
        <f>_xlfn.XLOOKUP(CoreValuesResults[[#This Row],[Team Number]],RobotDesignResults[Team Number],RobotDesignResults[Iterate - Improvements (CV)])</f>
        <v>0</v>
      </c>
      <c r="K43" s="87">
        <f>_xlfn.XLOOKUP(CoreValuesResults[[#This Row],[Team Number]],RobotDesignResults[Team Number],RobotDesignResults[Communicate - Impact (CV)])</f>
        <v>0</v>
      </c>
      <c r="L43" s="87">
        <f>_xlfn.XLOOKUP(CoreValuesResults[[#This Row],[Team Number]],RobotDesignResults[Team Number],RobotDesignResults[Communicate - Fun (CV)])</f>
        <v>0</v>
      </c>
      <c r="M43" s="17"/>
      <c r="N43" s="17"/>
      <c r="O43" s="17"/>
      <c r="P43" s="17"/>
      <c r="Q43" s="17"/>
      <c r="R43" s="12" t="str">
        <f>IF(CoreValuesResults[[#This Row],[Gracious Professionalism 1]]="","",COUNTIF(CoreValuesResults[[#This Row],[Gracious Professionalism 1]:[Gracious Professionalism 5]],""))</f>
        <v/>
      </c>
      <c r="S43" s="12" t="str">
        <f>IF(CoreValuesResults[[#This Row],[Gracious Professionalism 1]]="","",SUM(CoreValuesResults[[#This Row],[Gracious Professionalism 1]:[Gracious Professionalism 5]]))</f>
        <v/>
      </c>
      <c r="T43"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43" s="81">
        <f>SUM(CoreValuesResults[[#This Row],[Discovery (IP)]:[Fun (RD)]],CoreValuesResults[[#This Row],[Gracious Professionalism Score]])</f>
        <v>0</v>
      </c>
      <c r="V43" s="43">
        <f>IF(CoreValuesResults[[#This Row],[Team Number]]&gt;0,MIN(_xlfn.RANK.EQ(CoreValuesResults[[#This Row],[Core Values Score]],CoreValuesResults[Core Values Score],0),NumberOfTeams),NumberOfTeams+1)</f>
        <v>1</v>
      </c>
      <c r="W43" s="82"/>
      <c r="X43" s="82"/>
      <c r="Y43" s="82"/>
    </row>
    <row r="44" spans="1:25" ht="30" customHeight="1" x14ac:dyDescent="0.45">
      <c r="A44" s="12">
        <f>_xlfn.XLOOKUP(43,OfficialTeamList[Row],OfficialTeamList[Team Number],"ERROR",0)</f>
        <v>0</v>
      </c>
      <c r="B44" s="42" t="str">
        <f>_xlfn.XLOOKUP(CoreValuesResults[[#This Row],[Team Number]],OfficialTeamList[Team Number],OfficialTeamList[Team Name],"",0,)</f>
        <v/>
      </c>
      <c r="C44" s="87">
        <f>_xlfn.XLOOKUP(CoreValuesResults[[#This Row],[Team Number]],InnovationProjectResults[Team Number],InnovationProjectResults[Identify - Research (CV)])</f>
        <v>0</v>
      </c>
      <c r="D44" s="87">
        <f>_xlfn.XLOOKUP(CoreValuesResults[[#This Row],[Team Number]],InnovationProjectResults[Team Number],InnovationProjectResults[Design - Teamwork (CV)])</f>
        <v>0</v>
      </c>
      <c r="E44" s="87">
        <f>_xlfn.XLOOKUP(CoreValuesResults[[#This Row],[Team Number]],InnovationProjectResults[Team Number],InnovationProjectResults[Create - Innovation (CV)])</f>
        <v>0</v>
      </c>
      <c r="F44" s="87">
        <f>_xlfn.XLOOKUP(CoreValuesResults[[#This Row],[Team Number]],InnovationProjectResults[Team Number],InnovationProjectResults[Communicate - Impact (CV)])</f>
        <v>0</v>
      </c>
      <c r="G44" s="87">
        <f>_xlfn.XLOOKUP(CoreValuesResults[[#This Row],[Team Number]],InnovationProjectResults[Team Number],InnovationProjectResults[Communicate - Fun (CV)])</f>
        <v>0</v>
      </c>
      <c r="H44" s="87">
        <f>_xlfn.XLOOKUP(CoreValuesResults[[#This Row],[Team Number]],RobotDesignResults[Team Number],RobotDesignResults[Identify - Research (CV)])</f>
        <v>0</v>
      </c>
      <c r="I44" s="87">
        <f>_xlfn.XLOOKUP(CoreValuesResults[[#This Row],[Team Number]],RobotDesignResults[Team Number],RobotDesignResults[Design - Ideas (CV)])</f>
        <v>0</v>
      </c>
      <c r="J44" s="87">
        <f>_xlfn.XLOOKUP(CoreValuesResults[[#This Row],[Team Number]],RobotDesignResults[Team Number],RobotDesignResults[Iterate - Improvements (CV)])</f>
        <v>0</v>
      </c>
      <c r="K44" s="87">
        <f>_xlfn.XLOOKUP(CoreValuesResults[[#This Row],[Team Number]],RobotDesignResults[Team Number],RobotDesignResults[Communicate - Impact (CV)])</f>
        <v>0</v>
      </c>
      <c r="L44" s="87">
        <f>_xlfn.XLOOKUP(CoreValuesResults[[#This Row],[Team Number]],RobotDesignResults[Team Number],RobotDesignResults[Communicate - Fun (CV)])</f>
        <v>0</v>
      </c>
      <c r="M44" s="17"/>
      <c r="N44" s="17"/>
      <c r="O44" s="17"/>
      <c r="P44" s="17"/>
      <c r="Q44" s="17"/>
      <c r="R44" s="12" t="str">
        <f>IF(CoreValuesResults[[#This Row],[Gracious Professionalism 1]]="","",COUNTIF(CoreValuesResults[[#This Row],[Gracious Professionalism 1]:[Gracious Professionalism 5]],""))</f>
        <v/>
      </c>
      <c r="S44" s="12" t="str">
        <f>IF(CoreValuesResults[[#This Row],[Gracious Professionalism 1]]="","",SUM(CoreValuesResults[[#This Row],[Gracious Professionalism 1]:[Gracious Professionalism 5]]))</f>
        <v/>
      </c>
      <c r="T44"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44" s="81">
        <f>SUM(CoreValuesResults[[#This Row],[Discovery (IP)]:[Fun (RD)]],CoreValuesResults[[#This Row],[Gracious Professionalism Score]])</f>
        <v>0</v>
      </c>
      <c r="V44" s="43">
        <f>IF(CoreValuesResults[[#This Row],[Team Number]]&gt;0,MIN(_xlfn.RANK.EQ(CoreValuesResults[[#This Row],[Core Values Score]],CoreValuesResults[Core Values Score],0),NumberOfTeams),NumberOfTeams+1)</f>
        <v>1</v>
      </c>
      <c r="W44" s="82"/>
      <c r="X44" s="82"/>
      <c r="Y44" s="82"/>
    </row>
    <row r="45" spans="1:25" ht="30" customHeight="1" x14ac:dyDescent="0.45">
      <c r="A45" s="12">
        <f>_xlfn.XLOOKUP(44,OfficialTeamList[Row],OfficialTeamList[Team Number],"ERROR",0)</f>
        <v>0</v>
      </c>
      <c r="B45" s="42" t="str">
        <f>_xlfn.XLOOKUP(CoreValuesResults[[#This Row],[Team Number]],OfficialTeamList[Team Number],OfficialTeamList[Team Name],"",0,)</f>
        <v/>
      </c>
      <c r="C45" s="87">
        <f>_xlfn.XLOOKUP(CoreValuesResults[[#This Row],[Team Number]],InnovationProjectResults[Team Number],InnovationProjectResults[Identify - Research (CV)])</f>
        <v>0</v>
      </c>
      <c r="D45" s="87">
        <f>_xlfn.XLOOKUP(CoreValuesResults[[#This Row],[Team Number]],InnovationProjectResults[Team Number],InnovationProjectResults[Design - Teamwork (CV)])</f>
        <v>0</v>
      </c>
      <c r="E45" s="87">
        <f>_xlfn.XLOOKUP(CoreValuesResults[[#This Row],[Team Number]],InnovationProjectResults[Team Number],InnovationProjectResults[Create - Innovation (CV)])</f>
        <v>0</v>
      </c>
      <c r="F45" s="87">
        <f>_xlfn.XLOOKUP(CoreValuesResults[[#This Row],[Team Number]],InnovationProjectResults[Team Number],InnovationProjectResults[Communicate - Impact (CV)])</f>
        <v>0</v>
      </c>
      <c r="G45" s="87">
        <f>_xlfn.XLOOKUP(CoreValuesResults[[#This Row],[Team Number]],InnovationProjectResults[Team Number],InnovationProjectResults[Communicate - Fun (CV)])</f>
        <v>0</v>
      </c>
      <c r="H45" s="87">
        <f>_xlfn.XLOOKUP(CoreValuesResults[[#This Row],[Team Number]],RobotDesignResults[Team Number],RobotDesignResults[Identify - Research (CV)])</f>
        <v>0</v>
      </c>
      <c r="I45" s="87">
        <f>_xlfn.XLOOKUP(CoreValuesResults[[#This Row],[Team Number]],RobotDesignResults[Team Number],RobotDesignResults[Design - Ideas (CV)])</f>
        <v>0</v>
      </c>
      <c r="J45" s="87">
        <f>_xlfn.XLOOKUP(CoreValuesResults[[#This Row],[Team Number]],RobotDesignResults[Team Number],RobotDesignResults[Iterate - Improvements (CV)])</f>
        <v>0</v>
      </c>
      <c r="K45" s="87">
        <f>_xlfn.XLOOKUP(CoreValuesResults[[#This Row],[Team Number]],RobotDesignResults[Team Number],RobotDesignResults[Communicate - Impact (CV)])</f>
        <v>0</v>
      </c>
      <c r="L45" s="87">
        <f>_xlfn.XLOOKUP(CoreValuesResults[[#This Row],[Team Number]],RobotDesignResults[Team Number],RobotDesignResults[Communicate - Fun (CV)])</f>
        <v>0</v>
      </c>
      <c r="M45" s="17"/>
      <c r="N45" s="17"/>
      <c r="O45" s="17"/>
      <c r="P45" s="17"/>
      <c r="Q45" s="17"/>
      <c r="R45" s="12" t="str">
        <f>IF(CoreValuesResults[[#This Row],[Gracious Professionalism 1]]="","",COUNTIF(CoreValuesResults[[#This Row],[Gracious Professionalism 1]:[Gracious Professionalism 5]],""))</f>
        <v/>
      </c>
      <c r="S45" s="12" t="str">
        <f>IF(CoreValuesResults[[#This Row],[Gracious Professionalism 1]]="","",SUM(CoreValuesResults[[#This Row],[Gracious Professionalism 1]:[Gracious Professionalism 5]]))</f>
        <v/>
      </c>
      <c r="T45"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45" s="81">
        <f>SUM(CoreValuesResults[[#This Row],[Discovery (IP)]:[Fun (RD)]],CoreValuesResults[[#This Row],[Gracious Professionalism Score]])</f>
        <v>0</v>
      </c>
      <c r="V45" s="43">
        <f>IF(CoreValuesResults[[#This Row],[Team Number]]&gt;0,MIN(_xlfn.RANK.EQ(CoreValuesResults[[#This Row],[Core Values Score]],CoreValuesResults[Core Values Score],0),NumberOfTeams),NumberOfTeams+1)</f>
        <v>1</v>
      </c>
      <c r="W45" s="82"/>
      <c r="X45" s="82"/>
      <c r="Y45" s="82"/>
    </row>
    <row r="46" spans="1:25" ht="30" customHeight="1" x14ac:dyDescent="0.45">
      <c r="A46" s="12">
        <f>_xlfn.XLOOKUP(45,OfficialTeamList[Row],OfficialTeamList[Team Number],"ERROR",0)</f>
        <v>0</v>
      </c>
      <c r="B46" s="42" t="str">
        <f>_xlfn.XLOOKUP(CoreValuesResults[[#This Row],[Team Number]],OfficialTeamList[Team Number],OfficialTeamList[Team Name],"",0,)</f>
        <v/>
      </c>
      <c r="C46" s="87">
        <f>_xlfn.XLOOKUP(CoreValuesResults[[#This Row],[Team Number]],InnovationProjectResults[Team Number],InnovationProjectResults[Identify - Research (CV)])</f>
        <v>0</v>
      </c>
      <c r="D46" s="87">
        <f>_xlfn.XLOOKUP(CoreValuesResults[[#This Row],[Team Number]],InnovationProjectResults[Team Number],InnovationProjectResults[Design - Teamwork (CV)])</f>
        <v>0</v>
      </c>
      <c r="E46" s="87">
        <f>_xlfn.XLOOKUP(CoreValuesResults[[#This Row],[Team Number]],InnovationProjectResults[Team Number],InnovationProjectResults[Create - Innovation (CV)])</f>
        <v>0</v>
      </c>
      <c r="F46" s="87">
        <f>_xlfn.XLOOKUP(CoreValuesResults[[#This Row],[Team Number]],InnovationProjectResults[Team Number],InnovationProjectResults[Communicate - Impact (CV)])</f>
        <v>0</v>
      </c>
      <c r="G46" s="87">
        <f>_xlfn.XLOOKUP(CoreValuesResults[[#This Row],[Team Number]],InnovationProjectResults[Team Number],InnovationProjectResults[Communicate - Fun (CV)])</f>
        <v>0</v>
      </c>
      <c r="H46" s="87">
        <f>_xlfn.XLOOKUP(CoreValuesResults[[#This Row],[Team Number]],RobotDesignResults[Team Number],RobotDesignResults[Identify - Research (CV)])</f>
        <v>0</v>
      </c>
      <c r="I46" s="87">
        <f>_xlfn.XLOOKUP(CoreValuesResults[[#This Row],[Team Number]],RobotDesignResults[Team Number],RobotDesignResults[Design - Ideas (CV)])</f>
        <v>0</v>
      </c>
      <c r="J46" s="87">
        <f>_xlfn.XLOOKUP(CoreValuesResults[[#This Row],[Team Number]],RobotDesignResults[Team Number],RobotDesignResults[Iterate - Improvements (CV)])</f>
        <v>0</v>
      </c>
      <c r="K46" s="87">
        <f>_xlfn.XLOOKUP(CoreValuesResults[[#This Row],[Team Number]],RobotDesignResults[Team Number],RobotDesignResults[Communicate - Impact (CV)])</f>
        <v>0</v>
      </c>
      <c r="L46" s="87">
        <f>_xlfn.XLOOKUP(CoreValuesResults[[#This Row],[Team Number]],RobotDesignResults[Team Number],RobotDesignResults[Communicate - Fun (CV)])</f>
        <v>0</v>
      </c>
      <c r="M46" s="17"/>
      <c r="N46" s="17"/>
      <c r="O46" s="17"/>
      <c r="P46" s="17"/>
      <c r="Q46" s="17"/>
      <c r="R46" s="12" t="str">
        <f>IF(CoreValuesResults[[#This Row],[Gracious Professionalism 1]]="","",COUNTIF(CoreValuesResults[[#This Row],[Gracious Professionalism 1]:[Gracious Professionalism 5]],""))</f>
        <v/>
      </c>
      <c r="S46" s="12" t="str">
        <f>IF(CoreValuesResults[[#This Row],[Gracious Professionalism 1]]="","",SUM(CoreValuesResults[[#This Row],[Gracious Professionalism 1]:[Gracious Professionalism 5]]))</f>
        <v/>
      </c>
      <c r="T46"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46" s="81">
        <f>SUM(CoreValuesResults[[#This Row],[Discovery (IP)]:[Fun (RD)]],CoreValuesResults[[#This Row],[Gracious Professionalism Score]])</f>
        <v>0</v>
      </c>
      <c r="V46" s="43">
        <f>IF(CoreValuesResults[[#This Row],[Team Number]]&gt;0,MIN(_xlfn.RANK.EQ(CoreValuesResults[[#This Row],[Core Values Score]],CoreValuesResults[Core Values Score],0),NumberOfTeams),NumberOfTeams+1)</f>
        <v>1</v>
      </c>
      <c r="W46" s="82"/>
      <c r="X46" s="82"/>
      <c r="Y46" s="82"/>
    </row>
    <row r="47" spans="1:25" ht="30" customHeight="1" x14ac:dyDescent="0.45">
      <c r="A47" s="12">
        <f>_xlfn.XLOOKUP(46,OfficialTeamList[Row],OfficialTeamList[Team Number],"ERROR",0)</f>
        <v>0</v>
      </c>
      <c r="B47" s="42" t="str">
        <f>_xlfn.XLOOKUP(CoreValuesResults[[#This Row],[Team Number]],OfficialTeamList[Team Number],OfficialTeamList[Team Name],"",0,)</f>
        <v/>
      </c>
      <c r="C47" s="87">
        <f>_xlfn.XLOOKUP(CoreValuesResults[[#This Row],[Team Number]],InnovationProjectResults[Team Number],InnovationProjectResults[Identify - Research (CV)])</f>
        <v>0</v>
      </c>
      <c r="D47" s="87">
        <f>_xlfn.XLOOKUP(CoreValuesResults[[#This Row],[Team Number]],InnovationProjectResults[Team Number],InnovationProjectResults[Design - Teamwork (CV)])</f>
        <v>0</v>
      </c>
      <c r="E47" s="87">
        <f>_xlfn.XLOOKUP(CoreValuesResults[[#This Row],[Team Number]],InnovationProjectResults[Team Number],InnovationProjectResults[Create - Innovation (CV)])</f>
        <v>0</v>
      </c>
      <c r="F47" s="87">
        <f>_xlfn.XLOOKUP(CoreValuesResults[[#This Row],[Team Number]],InnovationProjectResults[Team Number],InnovationProjectResults[Communicate - Impact (CV)])</f>
        <v>0</v>
      </c>
      <c r="G47" s="87">
        <f>_xlfn.XLOOKUP(CoreValuesResults[[#This Row],[Team Number]],InnovationProjectResults[Team Number],InnovationProjectResults[Communicate - Fun (CV)])</f>
        <v>0</v>
      </c>
      <c r="H47" s="87">
        <f>_xlfn.XLOOKUP(CoreValuesResults[[#This Row],[Team Number]],RobotDesignResults[Team Number],RobotDesignResults[Identify - Research (CV)])</f>
        <v>0</v>
      </c>
      <c r="I47" s="87">
        <f>_xlfn.XLOOKUP(CoreValuesResults[[#This Row],[Team Number]],RobotDesignResults[Team Number],RobotDesignResults[Design - Ideas (CV)])</f>
        <v>0</v>
      </c>
      <c r="J47" s="87">
        <f>_xlfn.XLOOKUP(CoreValuesResults[[#This Row],[Team Number]],RobotDesignResults[Team Number],RobotDesignResults[Iterate - Improvements (CV)])</f>
        <v>0</v>
      </c>
      <c r="K47" s="87">
        <f>_xlfn.XLOOKUP(CoreValuesResults[[#This Row],[Team Number]],RobotDesignResults[Team Number],RobotDesignResults[Communicate - Impact (CV)])</f>
        <v>0</v>
      </c>
      <c r="L47" s="87">
        <f>_xlfn.XLOOKUP(CoreValuesResults[[#This Row],[Team Number]],RobotDesignResults[Team Number],RobotDesignResults[Communicate - Fun (CV)])</f>
        <v>0</v>
      </c>
      <c r="M47" s="17"/>
      <c r="N47" s="17"/>
      <c r="O47" s="17"/>
      <c r="P47" s="17"/>
      <c r="Q47" s="17"/>
      <c r="R47" s="12" t="str">
        <f>IF(CoreValuesResults[[#This Row],[Gracious Professionalism 1]]="","",COUNTIF(CoreValuesResults[[#This Row],[Gracious Professionalism 1]:[Gracious Professionalism 5]],""))</f>
        <v/>
      </c>
      <c r="S47" s="12" t="str">
        <f>IF(CoreValuesResults[[#This Row],[Gracious Professionalism 1]]="","",SUM(CoreValuesResults[[#This Row],[Gracious Professionalism 1]:[Gracious Professionalism 5]]))</f>
        <v/>
      </c>
      <c r="T47"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47" s="81">
        <f>SUM(CoreValuesResults[[#This Row],[Discovery (IP)]:[Fun (RD)]],CoreValuesResults[[#This Row],[Gracious Professionalism Score]])</f>
        <v>0</v>
      </c>
      <c r="V47" s="43">
        <f>IF(CoreValuesResults[[#This Row],[Team Number]]&gt;0,MIN(_xlfn.RANK.EQ(CoreValuesResults[[#This Row],[Core Values Score]],CoreValuesResults[Core Values Score],0),NumberOfTeams),NumberOfTeams+1)</f>
        <v>1</v>
      </c>
      <c r="W47" s="82"/>
      <c r="X47" s="82"/>
      <c r="Y47" s="82"/>
    </row>
    <row r="48" spans="1:25" ht="30" customHeight="1" x14ac:dyDescent="0.45">
      <c r="A48" s="12">
        <f>_xlfn.XLOOKUP(47,OfficialTeamList[Row],OfficialTeamList[Team Number],"ERROR",0)</f>
        <v>0</v>
      </c>
      <c r="B48" s="42" t="str">
        <f>_xlfn.XLOOKUP(CoreValuesResults[[#This Row],[Team Number]],OfficialTeamList[Team Number],OfficialTeamList[Team Name],"",0,)</f>
        <v/>
      </c>
      <c r="C48" s="87">
        <f>_xlfn.XLOOKUP(CoreValuesResults[[#This Row],[Team Number]],InnovationProjectResults[Team Number],InnovationProjectResults[Identify - Research (CV)])</f>
        <v>0</v>
      </c>
      <c r="D48" s="87">
        <f>_xlfn.XLOOKUP(CoreValuesResults[[#This Row],[Team Number]],InnovationProjectResults[Team Number],InnovationProjectResults[Design - Teamwork (CV)])</f>
        <v>0</v>
      </c>
      <c r="E48" s="87">
        <f>_xlfn.XLOOKUP(CoreValuesResults[[#This Row],[Team Number]],InnovationProjectResults[Team Number],InnovationProjectResults[Create - Innovation (CV)])</f>
        <v>0</v>
      </c>
      <c r="F48" s="87">
        <f>_xlfn.XLOOKUP(CoreValuesResults[[#This Row],[Team Number]],InnovationProjectResults[Team Number],InnovationProjectResults[Communicate - Impact (CV)])</f>
        <v>0</v>
      </c>
      <c r="G48" s="87">
        <f>_xlfn.XLOOKUP(CoreValuesResults[[#This Row],[Team Number]],InnovationProjectResults[Team Number],InnovationProjectResults[Communicate - Fun (CV)])</f>
        <v>0</v>
      </c>
      <c r="H48" s="87">
        <f>_xlfn.XLOOKUP(CoreValuesResults[[#This Row],[Team Number]],RobotDesignResults[Team Number],RobotDesignResults[Identify - Research (CV)])</f>
        <v>0</v>
      </c>
      <c r="I48" s="87">
        <f>_xlfn.XLOOKUP(CoreValuesResults[[#This Row],[Team Number]],RobotDesignResults[Team Number],RobotDesignResults[Design - Ideas (CV)])</f>
        <v>0</v>
      </c>
      <c r="J48" s="87">
        <f>_xlfn.XLOOKUP(CoreValuesResults[[#This Row],[Team Number]],RobotDesignResults[Team Number],RobotDesignResults[Iterate - Improvements (CV)])</f>
        <v>0</v>
      </c>
      <c r="K48" s="87">
        <f>_xlfn.XLOOKUP(CoreValuesResults[[#This Row],[Team Number]],RobotDesignResults[Team Number],RobotDesignResults[Communicate - Impact (CV)])</f>
        <v>0</v>
      </c>
      <c r="L48" s="87">
        <f>_xlfn.XLOOKUP(CoreValuesResults[[#This Row],[Team Number]],RobotDesignResults[Team Number],RobotDesignResults[Communicate - Fun (CV)])</f>
        <v>0</v>
      </c>
      <c r="M48" s="17"/>
      <c r="N48" s="17"/>
      <c r="O48" s="17"/>
      <c r="P48" s="17"/>
      <c r="Q48" s="17"/>
      <c r="R48" s="12" t="str">
        <f>IF(CoreValuesResults[[#This Row],[Gracious Professionalism 1]]="","",COUNTIF(CoreValuesResults[[#This Row],[Gracious Professionalism 1]:[Gracious Professionalism 5]],""))</f>
        <v/>
      </c>
      <c r="S48" s="12" t="str">
        <f>IF(CoreValuesResults[[#This Row],[Gracious Professionalism 1]]="","",SUM(CoreValuesResults[[#This Row],[Gracious Professionalism 1]:[Gracious Professionalism 5]]))</f>
        <v/>
      </c>
      <c r="T48"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48" s="81">
        <f>SUM(CoreValuesResults[[#This Row],[Discovery (IP)]:[Fun (RD)]],CoreValuesResults[[#This Row],[Gracious Professionalism Score]])</f>
        <v>0</v>
      </c>
      <c r="V48" s="43">
        <f>IF(CoreValuesResults[[#This Row],[Team Number]]&gt;0,MIN(_xlfn.RANK.EQ(CoreValuesResults[[#This Row],[Core Values Score]],CoreValuesResults[Core Values Score],0),NumberOfTeams),NumberOfTeams+1)</f>
        <v>1</v>
      </c>
      <c r="W48" s="82"/>
      <c r="X48" s="82"/>
      <c r="Y48" s="82"/>
    </row>
    <row r="49" spans="1:25" ht="30" customHeight="1" x14ac:dyDescent="0.45">
      <c r="A49" s="12">
        <f>_xlfn.XLOOKUP(48,OfficialTeamList[Row],OfficialTeamList[Team Number],"ERROR",0)</f>
        <v>0</v>
      </c>
      <c r="B49" s="42" t="str">
        <f>_xlfn.XLOOKUP(CoreValuesResults[[#This Row],[Team Number]],OfficialTeamList[Team Number],OfficialTeamList[Team Name],"",0,)</f>
        <v/>
      </c>
      <c r="C49" s="87">
        <f>_xlfn.XLOOKUP(CoreValuesResults[[#This Row],[Team Number]],InnovationProjectResults[Team Number],InnovationProjectResults[Identify - Research (CV)])</f>
        <v>0</v>
      </c>
      <c r="D49" s="87">
        <f>_xlfn.XLOOKUP(CoreValuesResults[[#This Row],[Team Number]],InnovationProjectResults[Team Number],InnovationProjectResults[Design - Teamwork (CV)])</f>
        <v>0</v>
      </c>
      <c r="E49" s="87">
        <f>_xlfn.XLOOKUP(CoreValuesResults[[#This Row],[Team Number]],InnovationProjectResults[Team Number],InnovationProjectResults[Create - Innovation (CV)])</f>
        <v>0</v>
      </c>
      <c r="F49" s="87">
        <f>_xlfn.XLOOKUP(CoreValuesResults[[#This Row],[Team Number]],InnovationProjectResults[Team Number],InnovationProjectResults[Communicate - Impact (CV)])</f>
        <v>0</v>
      </c>
      <c r="G49" s="87">
        <f>_xlfn.XLOOKUP(CoreValuesResults[[#This Row],[Team Number]],InnovationProjectResults[Team Number],InnovationProjectResults[Communicate - Fun (CV)])</f>
        <v>0</v>
      </c>
      <c r="H49" s="87">
        <f>_xlfn.XLOOKUP(CoreValuesResults[[#This Row],[Team Number]],RobotDesignResults[Team Number],RobotDesignResults[Identify - Research (CV)])</f>
        <v>0</v>
      </c>
      <c r="I49" s="87">
        <f>_xlfn.XLOOKUP(CoreValuesResults[[#This Row],[Team Number]],RobotDesignResults[Team Number],RobotDesignResults[Design - Ideas (CV)])</f>
        <v>0</v>
      </c>
      <c r="J49" s="87">
        <f>_xlfn.XLOOKUP(CoreValuesResults[[#This Row],[Team Number]],RobotDesignResults[Team Number],RobotDesignResults[Iterate - Improvements (CV)])</f>
        <v>0</v>
      </c>
      <c r="K49" s="87">
        <f>_xlfn.XLOOKUP(CoreValuesResults[[#This Row],[Team Number]],RobotDesignResults[Team Number],RobotDesignResults[Communicate - Impact (CV)])</f>
        <v>0</v>
      </c>
      <c r="L49" s="87">
        <f>_xlfn.XLOOKUP(CoreValuesResults[[#This Row],[Team Number]],RobotDesignResults[Team Number],RobotDesignResults[Communicate - Fun (CV)])</f>
        <v>0</v>
      </c>
      <c r="M49" s="17"/>
      <c r="N49" s="17"/>
      <c r="O49" s="17"/>
      <c r="P49" s="17"/>
      <c r="Q49" s="17"/>
      <c r="R49" s="12" t="str">
        <f>IF(CoreValuesResults[[#This Row],[Gracious Professionalism 1]]="","",COUNTIF(CoreValuesResults[[#This Row],[Gracious Professionalism 1]:[Gracious Professionalism 5]],""))</f>
        <v/>
      </c>
      <c r="S49" s="12" t="str">
        <f>IF(CoreValuesResults[[#This Row],[Gracious Professionalism 1]]="","",SUM(CoreValuesResults[[#This Row],[Gracious Professionalism 1]:[Gracious Professionalism 5]]))</f>
        <v/>
      </c>
      <c r="T49"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49" s="81">
        <f>SUM(CoreValuesResults[[#This Row],[Discovery (IP)]:[Fun (RD)]],CoreValuesResults[[#This Row],[Gracious Professionalism Score]])</f>
        <v>0</v>
      </c>
      <c r="V49" s="43">
        <f>IF(CoreValuesResults[[#This Row],[Team Number]]&gt;0,MIN(_xlfn.RANK.EQ(CoreValuesResults[[#This Row],[Core Values Score]],CoreValuesResults[Core Values Score],0),NumberOfTeams),NumberOfTeams+1)</f>
        <v>1</v>
      </c>
      <c r="W49" s="82"/>
      <c r="X49" s="82"/>
      <c r="Y49" s="82"/>
    </row>
    <row r="50" spans="1:25" ht="30" customHeight="1" x14ac:dyDescent="0.45">
      <c r="A50" s="12">
        <f>_xlfn.XLOOKUP(49,OfficialTeamList[Row],OfficialTeamList[Team Number],"ERROR",0)</f>
        <v>0</v>
      </c>
      <c r="B50" s="42" t="str">
        <f>_xlfn.XLOOKUP(CoreValuesResults[[#This Row],[Team Number]],OfficialTeamList[Team Number],OfficialTeamList[Team Name],"",0,)</f>
        <v/>
      </c>
      <c r="C50" s="87">
        <f>_xlfn.XLOOKUP(CoreValuesResults[[#This Row],[Team Number]],InnovationProjectResults[Team Number],InnovationProjectResults[Identify - Research (CV)])</f>
        <v>0</v>
      </c>
      <c r="D50" s="87">
        <f>_xlfn.XLOOKUP(CoreValuesResults[[#This Row],[Team Number]],InnovationProjectResults[Team Number],InnovationProjectResults[Design - Teamwork (CV)])</f>
        <v>0</v>
      </c>
      <c r="E50" s="87">
        <f>_xlfn.XLOOKUP(CoreValuesResults[[#This Row],[Team Number]],InnovationProjectResults[Team Number],InnovationProjectResults[Create - Innovation (CV)])</f>
        <v>0</v>
      </c>
      <c r="F50" s="87">
        <f>_xlfn.XLOOKUP(CoreValuesResults[[#This Row],[Team Number]],InnovationProjectResults[Team Number],InnovationProjectResults[Communicate - Impact (CV)])</f>
        <v>0</v>
      </c>
      <c r="G50" s="87">
        <f>_xlfn.XLOOKUP(CoreValuesResults[[#This Row],[Team Number]],InnovationProjectResults[Team Number],InnovationProjectResults[Communicate - Fun (CV)])</f>
        <v>0</v>
      </c>
      <c r="H50" s="87">
        <f>_xlfn.XLOOKUP(CoreValuesResults[[#This Row],[Team Number]],RobotDesignResults[Team Number],RobotDesignResults[Identify - Research (CV)])</f>
        <v>0</v>
      </c>
      <c r="I50" s="87">
        <f>_xlfn.XLOOKUP(CoreValuesResults[[#This Row],[Team Number]],RobotDesignResults[Team Number],RobotDesignResults[Design - Ideas (CV)])</f>
        <v>0</v>
      </c>
      <c r="J50" s="87">
        <f>_xlfn.XLOOKUP(CoreValuesResults[[#This Row],[Team Number]],RobotDesignResults[Team Number],RobotDesignResults[Iterate - Improvements (CV)])</f>
        <v>0</v>
      </c>
      <c r="K50" s="87">
        <f>_xlfn.XLOOKUP(CoreValuesResults[[#This Row],[Team Number]],RobotDesignResults[Team Number],RobotDesignResults[Communicate - Impact (CV)])</f>
        <v>0</v>
      </c>
      <c r="L50" s="87">
        <f>_xlfn.XLOOKUP(CoreValuesResults[[#This Row],[Team Number]],RobotDesignResults[Team Number],RobotDesignResults[Communicate - Fun (CV)])</f>
        <v>0</v>
      </c>
      <c r="M50" s="17"/>
      <c r="N50" s="17"/>
      <c r="O50" s="17"/>
      <c r="P50" s="17"/>
      <c r="Q50" s="17"/>
      <c r="R50" s="12" t="str">
        <f>IF(CoreValuesResults[[#This Row],[Gracious Professionalism 1]]="","",COUNTIF(CoreValuesResults[[#This Row],[Gracious Professionalism 1]:[Gracious Professionalism 5]],""))</f>
        <v/>
      </c>
      <c r="S50" s="12" t="str">
        <f>IF(CoreValuesResults[[#This Row],[Gracious Professionalism 1]]="","",SUM(CoreValuesResults[[#This Row],[Gracious Professionalism 1]:[Gracious Professionalism 5]]))</f>
        <v/>
      </c>
      <c r="T50"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50" s="81">
        <f>SUM(CoreValuesResults[[#This Row],[Discovery (IP)]:[Fun (RD)]],CoreValuesResults[[#This Row],[Gracious Professionalism Score]])</f>
        <v>0</v>
      </c>
      <c r="V50" s="43">
        <f>IF(CoreValuesResults[[#This Row],[Team Number]]&gt;0,MIN(_xlfn.RANK.EQ(CoreValuesResults[[#This Row],[Core Values Score]],CoreValuesResults[Core Values Score],0),NumberOfTeams),NumberOfTeams+1)</f>
        <v>1</v>
      </c>
      <c r="W50" s="82"/>
      <c r="X50" s="82"/>
      <c r="Y50" s="82"/>
    </row>
    <row r="51" spans="1:25" ht="30" customHeight="1" x14ac:dyDescent="0.45">
      <c r="A51" s="12">
        <f>_xlfn.XLOOKUP(50,OfficialTeamList[Row],OfficialTeamList[Team Number],"ERROR",0)</f>
        <v>0</v>
      </c>
      <c r="B51" s="42" t="str">
        <f>_xlfn.XLOOKUP(CoreValuesResults[[#This Row],[Team Number]],OfficialTeamList[Team Number],OfficialTeamList[Team Name],"",0,)</f>
        <v/>
      </c>
      <c r="C51" s="87">
        <f>_xlfn.XLOOKUP(CoreValuesResults[[#This Row],[Team Number]],InnovationProjectResults[Team Number],InnovationProjectResults[Identify - Research (CV)])</f>
        <v>0</v>
      </c>
      <c r="D51" s="87">
        <f>_xlfn.XLOOKUP(CoreValuesResults[[#This Row],[Team Number]],InnovationProjectResults[Team Number],InnovationProjectResults[Design - Teamwork (CV)])</f>
        <v>0</v>
      </c>
      <c r="E51" s="87">
        <f>_xlfn.XLOOKUP(CoreValuesResults[[#This Row],[Team Number]],InnovationProjectResults[Team Number],InnovationProjectResults[Create - Innovation (CV)])</f>
        <v>0</v>
      </c>
      <c r="F51" s="87">
        <f>_xlfn.XLOOKUP(CoreValuesResults[[#This Row],[Team Number]],InnovationProjectResults[Team Number],InnovationProjectResults[Communicate - Impact (CV)])</f>
        <v>0</v>
      </c>
      <c r="G51" s="87">
        <f>_xlfn.XLOOKUP(CoreValuesResults[[#This Row],[Team Number]],InnovationProjectResults[Team Number],InnovationProjectResults[Communicate - Fun (CV)])</f>
        <v>0</v>
      </c>
      <c r="H51" s="87">
        <f>_xlfn.XLOOKUP(CoreValuesResults[[#This Row],[Team Number]],RobotDesignResults[Team Number],RobotDesignResults[Identify - Research (CV)])</f>
        <v>0</v>
      </c>
      <c r="I51" s="87">
        <f>_xlfn.XLOOKUP(CoreValuesResults[[#This Row],[Team Number]],RobotDesignResults[Team Number],RobotDesignResults[Design - Ideas (CV)])</f>
        <v>0</v>
      </c>
      <c r="J51" s="87">
        <f>_xlfn.XLOOKUP(CoreValuesResults[[#This Row],[Team Number]],RobotDesignResults[Team Number],RobotDesignResults[Iterate - Improvements (CV)])</f>
        <v>0</v>
      </c>
      <c r="K51" s="87">
        <f>_xlfn.XLOOKUP(CoreValuesResults[[#This Row],[Team Number]],RobotDesignResults[Team Number],RobotDesignResults[Communicate - Impact (CV)])</f>
        <v>0</v>
      </c>
      <c r="L51" s="87">
        <f>_xlfn.XLOOKUP(CoreValuesResults[[#This Row],[Team Number]],RobotDesignResults[Team Number],RobotDesignResults[Communicate - Fun (CV)])</f>
        <v>0</v>
      </c>
      <c r="M51" s="17"/>
      <c r="N51" s="17"/>
      <c r="O51" s="17"/>
      <c r="P51" s="17"/>
      <c r="Q51" s="17"/>
      <c r="R51" s="12" t="str">
        <f>IF(CoreValuesResults[[#This Row],[Gracious Professionalism 1]]="","",COUNTIF(CoreValuesResults[[#This Row],[Gracious Professionalism 1]:[Gracious Professionalism 5]],""))</f>
        <v/>
      </c>
      <c r="S51" s="12" t="str">
        <f>IF(CoreValuesResults[[#This Row],[Gracious Professionalism 1]]="","",SUM(CoreValuesResults[[#This Row],[Gracious Professionalism 1]:[Gracious Professionalism 5]]))</f>
        <v/>
      </c>
      <c r="T51"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51" s="81">
        <f>SUM(CoreValuesResults[[#This Row],[Discovery (IP)]:[Fun (RD)]],CoreValuesResults[[#This Row],[Gracious Professionalism Score]])</f>
        <v>0</v>
      </c>
      <c r="V51" s="43">
        <f>IF(CoreValuesResults[[#This Row],[Team Number]]&gt;0,MIN(_xlfn.RANK.EQ(CoreValuesResults[[#This Row],[Core Values Score]],CoreValuesResults[Core Values Score],0),NumberOfTeams),NumberOfTeams+1)</f>
        <v>1</v>
      </c>
      <c r="W51" s="82"/>
      <c r="X51" s="82"/>
      <c r="Y51" s="82"/>
    </row>
    <row r="52" spans="1:25" ht="30" customHeight="1" x14ac:dyDescent="0.45">
      <c r="A52" s="12">
        <f>_xlfn.XLOOKUP(51,OfficialTeamList[Row],OfficialTeamList[Team Number],"ERROR",0)</f>
        <v>0</v>
      </c>
      <c r="B52" s="42" t="str">
        <f>_xlfn.XLOOKUP(CoreValuesResults[[#This Row],[Team Number]],OfficialTeamList[Team Number],OfficialTeamList[Team Name],"",0,)</f>
        <v/>
      </c>
      <c r="C52" s="87">
        <f>_xlfn.XLOOKUP(CoreValuesResults[[#This Row],[Team Number]],InnovationProjectResults[Team Number],InnovationProjectResults[Identify - Research (CV)])</f>
        <v>0</v>
      </c>
      <c r="D52" s="87">
        <f>_xlfn.XLOOKUP(CoreValuesResults[[#This Row],[Team Number]],InnovationProjectResults[Team Number],InnovationProjectResults[Design - Teamwork (CV)])</f>
        <v>0</v>
      </c>
      <c r="E52" s="87">
        <f>_xlfn.XLOOKUP(CoreValuesResults[[#This Row],[Team Number]],InnovationProjectResults[Team Number],InnovationProjectResults[Create - Innovation (CV)])</f>
        <v>0</v>
      </c>
      <c r="F52" s="87">
        <f>_xlfn.XLOOKUP(CoreValuesResults[[#This Row],[Team Number]],InnovationProjectResults[Team Number],InnovationProjectResults[Communicate - Impact (CV)])</f>
        <v>0</v>
      </c>
      <c r="G52" s="87">
        <f>_xlfn.XLOOKUP(CoreValuesResults[[#This Row],[Team Number]],InnovationProjectResults[Team Number],InnovationProjectResults[Communicate - Fun (CV)])</f>
        <v>0</v>
      </c>
      <c r="H52" s="87">
        <f>_xlfn.XLOOKUP(CoreValuesResults[[#This Row],[Team Number]],RobotDesignResults[Team Number],RobotDesignResults[Identify - Research (CV)])</f>
        <v>0</v>
      </c>
      <c r="I52" s="87">
        <f>_xlfn.XLOOKUP(CoreValuesResults[[#This Row],[Team Number]],RobotDesignResults[Team Number],RobotDesignResults[Design - Ideas (CV)])</f>
        <v>0</v>
      </c>
      <c r="J52" s="87">
        <f>_xlfn.XLOOKUP(CoreValuesResults[[#This Row],[Team Number]],RobotDesignResults[Team Number],RobotDesignResults[Iterate - Improvements (CV)])</f>
        <v>0</v>
      </c>
      <c r="K52" s="87">
        <f>_xlfn.XLOOKUP(CoreValuesResults[[#This Row],[Team Number]],RobotDesignResults[Team Number],RobotDesignResults[Communicate - Impact (CV)])</f>
        <v>0</v>
      </c>
      <c r="L52" s="87">
        <f>_xlfn.XLOOKUP(CoreValuesResults[[#This Row],[Team Number]],RobotDesignResults[Team Number],RobotDesignResults[Communicate - Fun (CV)])</f>
        <v>0</v>
      </c>
      <c r="M52" s="17"/>
      <c r="N52" s="17"/>
      <c r="O52" s="17"/>
      <c r="P52" s="17"/>
      <c r="Q52" s="17"/>
      <c r="R52" s="12" t="str">
        <f>IF(CoreValuesResults[[#This Row],[Gracious Professionalism 1]]="","",COUNTIF(CoreValuesResults[[#This Row],[Gracious Professionalism 1]:[Gracious Professionalism 5]],""))</f>
        <v/>
      </c>
      <c r="S52" s="12" t="str">
        <f>IF(CoreValuesResults[[#This Row],[Gracious Professionalism 1]]="","",SUM(CoreValuesResults[[#This Row],[Gracious Professionalism 1]:[Gracious Professionalism 5]]))</f>
        <v/>
      </c>
      <c r="T52"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52" s="81">
        <f>SUM(CoreValuesResults[[#This Row],[Discovery (IP)]:[Fun (RD)]],CoreValuesResults[[#This Row],[Gracious Professionalism Score]])</f>
        <v>0</v>
      </c>
      <c r="V52" s="43">
        <f>IF(CoreValuesResults[[#This Row],[Team Number]]&gt;0,MIN(_xlfn.RANK.EQ(CoreValuesResults[[#This Row],[Core Values Score]],CoreValuesResults[Core Values Score],0),NumberOfTeams),NumberOfTeams+1)</f>
        <v>1</v>
      </c>
      <c r="W52" s="82"/>
      <c r="X52" s="82"/>
      <c r="Y52" s="82"/>
    </row>
    <row r="53" spans="1:25" ht="30" customHeight="1" x14ac:dyDescent="0.45">
      <c r="A53" s="12">
        <f>_xlfn.XLOOKUP(52,OfficialTeamList[Row],OfficialTeamList[Team Number],"ERROR",0)</f>
        <v>0</v>
      </c>
      <c r="B53" s="42" t="str">
        <f>_xlfn.XLOOKUP(CoreValuesResults[[#This Row],[Team Number]],OfficialTeamList[Team Number],OfficialTeamList[Team Name],"",0,)</f>
        <v/>
      </c>
      <c r="C53" s="87">
        <f>_xlfn.XLOOKUP(CoreValuesResults[[#This Row],[Team Number]],InnovationProjectResults[Team Number],InnovationProjectResults[Identify - Research (CV)])</f>
        <v>0</v>
      </c>
      <c r="D53" s="87">
        <f>_xlfn.XLOOKUP(CoreValuesResults[[#This Row],[Team Number]],InnovationProjectResults[Team Number],InnovationProjectResults[Design - Teamwork (CV)])</f>
        <v>0</v>
      </c>
      <c r="E53" s="87">
        <f>_xlfn.XLOOKUP(CoreValuesResults[[#This Row],[Team Number]],InnovationProjectResults[Team Number],InnovationProjectResults[Create - Innovation (CV)])</f>
        <v>0</v>
      </c>
      <c r="F53" s="87">
        <f>_xlfn.XLOOKUP(CoreValuesResults[[#This Row],[Team Number]],InnovationProjectResults[Team Number],InnovationProjectResults[Communicate - Impact (CV)])</f>
        <v>0</v>
      </c>
      <c r="G53" s="87">
        <f>_xlfn.XLOOKUP(CoreValuesResults[[#This Row],[Team Number]],InnovationProjectResults[Team Number],InnovationProjectResults[Communicate - Fun (CV)])</f>
        <v>0</v>
      </c>
      <c r="H53" s="87">
        <f>_xlfn.XLOOKUP(CoreValuesResults[[#This Row],[Team Number]],RobotDesignResults[Team Number],RobotDesignResults[Identify - Research (CV)])</f>
        <v>0</v>
      </c>
      <c r="I53" s="87">
        <f>_xlfn.XLOOKUP(CoreValuesResults[[#This Row],[Team Number]],RobotDesignResults[Team Number],RobotDesignResults[Design - Ideas (CV)])</f>
        <v>0</v>
      </c>
      <c r="J53" s="87">
        <f>_xlfn.XLOOKUP(CoreValuesResults[[#This Row],[Team Number]],RobotDesignResults[Team Number],RobotDesignResults[Iterate - Improvements (CV)])</f>
        <v>0</v>
      </c>
      <c r="K53" s="87">
        <f>_xlfn.XLOOKUP(CoreValuesResults[[#This Row],[Team Number]],RobotDesignResults[Team Number],RobotDesignResults[Communicate - Impact (CV)])</f>
        <v>0</v>
      </c>
      <c r="L53" s="87">
        <f>_xlfn.XLOOKUP(CoreValuesResults[[#This Row],[Team Number]],RobotDesignResults[Team Number],RobotDesignResults[Communicate - Fun (CV)])</f>
        <v>0</v>
      </c>
      <c r="M53" s="17"/>
      <c r="N53" s="17"/>
      <c r="O53" s="17"/>
      <c r="P53" s="17"/>
      <c r="Q53" s="17"/>
      <c r="R53" s="12" t="str">
        <f>IF(CoreValuesResults[[#This Row],[Gracious Professionalism 1]]="","",COUNTIF(CoreValuesResults[[#This Row],[Gracious Professionalism 1]:[Gracious Professionalism 5]],""))</f>
        <v/>
      </c>
      <c r="S53" s="12" t="str">
        <f>IF(CoreValuesResults[[#This Row],[Gracious Professionalism 1]]="","",SUM(CoreValuesResults[[#This Row],[Gracious Professionalism 1]:[Gracious Professionalism 5]]))</f>
        <v/>
      </c>
      <c r="T53"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53" s="81">
        <f>SUM(CoreValuesResults[[#This Row],[Discovery (IP)]:[Fun (RD)]],CoreValuesResults[[#This Row],[Gracious Professionalism Score]])</f>
        <v>0</v>
      </c>
      <c r="V53" s="43">
        <f>IF(CoreValuesResults[[#This Row],[Team Number]]&gt;0,MIN(_xlfn.RANK.EQ(CoreValuesResults[[#This Row],[Core Values Score]],CoreValuesResults[Core Values Score],0),NumberOfTeams),NumberOfTeams+1)</f>
        <v>1</v>
      </c>
      <c r="W53" s="82"/>
      <c r="X53" s="82"/>
      <c r="Y53" s="82"/>
    </row>
    <row r="54" spans="1:25" ht="30" customHeight="1" x14ac:dyDescent="0.45">
      <c r="A54" s="12">
        <f>_xlfn.XLOOKUP(53,OfficialTeamList[Row],OfficialTeamList[Team Number],"ERROR",0)</f>
        <v>0</v>
      </c>
      <c r="B54" s="42" t="str">
        <f>_xlfn.XLOOKUP(CoreValuesResults[[#This Row],[Team Number]],OfficialTeamList[Team Number],OfficialTeamList[Team Name],"",0,)</f>
        <v/>
      </c>
      <c r="C54" s="87">
        <f>_xlfn.XLOOKUP(CoreValuesResults[[#This Row],[Team Number]],InnovationProjectResults[Team Number],InnovationProjectResults[Identify - Research (CV)])</f>
        <v>0</v>
      </c>
      <c r="D54" s="87">
        <f>_xlfn.XLOOKUP(CoreValuesResults[[#This Row],[Team Number]],InnovationProjectResults[Team Number],InnovationProjectResults[Design - Teamwork (CV)])</f>
        <v>0</v>
      </c>
      <c r="E54" s="87">
        <f>_xlfn.XLOOKUP(CoreValuesResults[[#This Row],[Team Number]],InnovationProjectResults[Team Number],InnovationProjectResults[Create - Innovation (CV)])</f>
        <v>0</v>
      </c>
      <c r="F54" s="87">
        <f>_xlfn.XLOOKUP(CoreValuesResults[[#This Row],[Team Number]],InnovationProjectResults[Team Number],InnovationProjectResults[Communicate - Impact (CV)])</f>
        <v>0</v>
      </c>
      <c r="G54" s="87">
        <f>_xlfn.XLOOKUP(CoreValuesResults[[#This Row],[Team Number]],InnovationProjectResults[Team Number],InnovationProjectResults[Communicate - Fun (CV)])</f>
        <v>0</v>
      </c>
      <c r="H54" s="87">
        <f>_xlfn.XLOOKUP(CoreValuesResults[[#This Row],[Team Number]],RobotDesignResults[Team Number],RobotDesignResults[Identify - Research (CV)])</f>
        <v>0</v>
      </c>
      <c r="I54" s="87">
        <f>_xlfn.XLOOKUP(CoreValuesResults[[#This Row],[Team Number]],RobotDesignResults[Team Number],RobotDesignResults[Design - Ideas (CV)])</f>
        <v>0</v>
      </c>
      <c r="J54" s="87">
        <f>_xlfn.XLOOKUP(CoreValuesResults[[#This Row],[Team Number]],RobotDesignResults[Team Number],RobotDesignResults[Iterate - Improvements (CV)])</f>
        <v>0</v>
      </c>
      <c r="K54" s="87">
        <f>_xlfn.XLOOKUP(CoreValuesResults[[#This Row],[Team Number]],RobotDesignResults[Team Number],RobotDesignResults[Communicate - Impact (CV)])</f>
        <v>0</v>
      </c>
      <c r="L54" s="87">
        <f>_xlfn.XLOOKUP(CoreValuesResults[[#This Row],[Team Number]],RobotDesignResults[Team Number],RobotDesignResults[Communicate - Fun (CV)])</f>
        <v>0</v>
      </c>
      <c r="M54" s="17"/>
      <c r="N54" s="17"/>
      <c r="O54" s="17"/>
      <c r="P54" s="17"/>
      <c r="Q54" s="17"/>
      <c r="R54" s="12" t="str">
        <f>IF(CoreValuesResults[[#This Row],[Gracious Professionalism 1]]="","",COUNTIF(CoreValuesResults[[#This Row],[Gracious Professionalism 1]:[Gracious Professionalism 5]],""))</f>
        <v/>
      </c>
      <c r="S54" s="12" t="str">
        <f>IF(CoreValuesResults[[#This Row],[Gracious Professionalism 1]]="","",SUM(CoreValuesResults[[#This Row],[Gracious Professionalism 1]:[Gracious Professionalism 5]]))</f>
        <v/>
      </c>
      <c r="T54"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54" s="81">
        <f>SUM(CoreValuesResults[[#This Row],[Discovery (IP)]:[Fun (RD)]],CoreValuesResults[[#This Row],[Gracious Professionalism Score]])</f>
        <v>0</v>
      </c>
      <c r="V54" s="43">
        <f>IF(CoreValuesResults[[#This Row],[Team Number]]&gt;0,MIN(_xlfn.RANK.EQ(CoreValuesResults[[#This Row],[Core Values Score]],CoreValuesResults[Core Values Score],0),NumberOfTeams),NumberOfTeams+1)</f>
        <v>1</v>
      </c>
      <c r="W54" s="82"/>
      <c r="X54" s="82"/>
      <c r="Y54" s="82"/>
    </row>
    <row r="55" spans="1:25" ht="30" customHeight="1" x14ac:dyDescent="0.45">
      <c r="A55" s="12">
        <f>_xlfn.XLOOKUP(54,OfficialTeamList[Row],OfficialTeamList[Team Number],"ERROR",0)</f>
        <v>0</v>
      </c>
      <c r="B55" s="42" t="str">
        <f>_xlfn.XLOOKUP(CoreValuesResults[[#This Row],[Team Number]],OfficialTeamList[Team Number],OfficialTeamList[Team Name],"",0,)</f>
        <v/>
      </c>
      <c r="C55" s="87">
        <f>_xlfn.XLOOKUP(CoreValuesResults[[#This Row],[Team Number]],InnovationProjectResults[Team Number],InnovationProjectResults[Identify - Research (CV)])</f>
        <v>0</v>
      </c>
      <c r="D55" s="87">
        <f>_xlfn.XLOOKUP(CoreValuesResults[[#This Row],[Team Number]],InnovationProjectResults[Team Number],InnovationProjectResults[Design - Teamwork (CV)])</f>
        <v>0</v>
      </c>
      <c r="E55" s="87">
        <f>_xlfn.XLOOKUP(CoreValuesResults[[#This Row],[Team Number]],InnovationProjectResults[Team Number],InnovationProjectResults[Create - Innovation (CV)])</f>
        <v>0</v>
      </c>
      <c r="F55" s="87">
        <f>_xlfn.XLOOKUP(CoreValuesResults[[#This Row],[Team Number]],InnovationProjectResults[Team Number],InnovationProjectResults[Communicate - Impact (CV)])</f>
        <v>0</v>
      </c>
      <c r="G55" s="87">
        <f>_xlfn.XLOOKUP(CoreValuesResults[[#This Row],[Team Number]],InnovationProjectResults[Team Number],InnovationProjectResults[Communicate - Fun (CV)])</f>
        <v>0</v>
      </c>
      <c r="H55" s="87">
        <f>_xlfn.XLOOKUP(CoreValuesResults[[#This Row],[Team Number]],RobotDesignResults[Team Number],RobotDesignResults[Identify - Research (CV)])</f>
        <v>0</v>
      </c>
      <c r="I55" s="87">
        <f>_xlfn.XLOOKUP(CoreValuesResults[[#This Row],[Team Number]],RobotDesignResults[Team Number],RobotDesignResults[Design - Ideas (CV)])</f>
        <v>0</v>
      </c>
      <c r="J55" s="87">
        <f>_xlfn.XLOOKUP(CoreValuesResults[[#This Row],[Team Number]],RobotDesignResults[Team Number],RobotDesignResults[Iterate - Improvements (CV)])</f>
        <v>0</v>
      </c>
      <c r="K55" s="87">
        <f>_xlfn.XLOOKUP(CoreValuesResults[[#This Row],[Team Number]],RobotDesignResults[Team Number],RobotDesignResults[Communicate - Impact (CV)])</f>
        <v>0</v>
      </c>
      <c r="L55" s="87">
        <f>_xlfn.XLOOKUP(CoreValuesResults[[#This Row],[Team Number]],RobotDesignResults[Team Number],RobotDesignResults[Communicate - Fun (CV)])</f>
        <v>0</v>
      </c>
      <c r="M55" s="17"/>
      <c r="N55" s="17"/>
      <c r="O55" s="17"/>
      <c r="P55" s="17"/>
      <c r="Q55" s="17"/>
      <c r="R55" s="12" t="str">
        <f>IF(CoreValuesResults[[#This Row],[Gracious Professionalism 1]]="","",COUNTIF(CoreValuesResults[[#This Row],[Gracious Professionalism 1]:[Gracious Professionalism 5]],""))</f>
        <v/>
      </c>
      <c r="S55" s="12" t="str">
        <f>IF(CoreValuesResults[[#This Row],[Gracious Professionalism 1]]="","",SUM(CoreValuesResults[[#This Row],[Gracious Professionalism 1]:[Gracious Professionalism 5]]))</f>
        <v/>
      </c>
      <c r="T55"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55" s="81">
        <f>SUM(CoreValuesResults[[#This Row],[Discovery (IP)]:[Fun (RD)]],CoreValuesResults[[#This Row],[Gracious Professionalism Score]])</f>
        <v>0</v>
      </c>
      <c r="V55" s="43">
        <f>IF(CoreValuesResults[[#This Row],[Team Number]]&gt;0,MIN(_xlfn.RANK.EQ(CoreValuesResults[[#This Row],[Core Values Score]],CoreValuesResults[Core Values Score],0),NumberOfTeams),NumberOfTeams+1)</f>
        <v>1</v>
      </c>
      <c r="W55" s="82"/>
      <c r="X55" s="82"/>
      <c r="Y55" s="82"/>
    </row>
    <row r="56" spans="1:25" ht="30" customHeight="1" x14ac:dyDescent="0.45">
      <c r="A56" s="12">
        <f>_xlfn.XLOOKUP(55,OfficialTeamList[Row],OfficialTeamList[Team Number],"ERROR",0)</f>
        <v>0</v>
      </c>
      <c r="B56" s="42" t="str">
        <f>_xlfn.XLOOKUP(CoreValuesResults[[#This Row],[Team Number]],OfficialTeamList[Team Number],OfficialTeamList[Team Name],"",0,)</f>
        <v/>
      </c>
      <c r="C56" s="87">
        <f>_xlfn.XLOOKUP(CoreValuesResults[[#This Row],[Team Number]],InnovationProjectResults[Team Number],InnovationProjectResults[Identify - Research (CV)])</f>
        <v>0</v>
      </c>
      <c r="D56" s="87">
        <f>_xlfn.XLOOKUP(CoreValuesResults[[#This Row],[Team Number]],InnovationProjectResults[Team Number],InnovationProjectResults[Design - Teamwork (CV)])</f>
        <v>0</v>
      </c>
      <c r="E56" s="87">
        <f>_xlfn.XLOOKUP(CoreValuesResults[[#This Row],[Team Number]],InnovationProjectResults[Team Number],InnovationProjectResults[Create - Innovation (CV)])</f>
        <v>0</v>
      </c>
      <c r="F56" s="87">
        <f>_xlfn.XLOOKUP(CoreValuesResults[[#This Row],[Team Number]],InnovationProjectResults[Team Number],InnovationProjectResults[Communicate - Impact (CV)])</f>
        <v>0</v>
      </c>
      <c r="G56" s="87">
        <f>_xlfn.XLOOKUP(CoreValuesResults[[#This Row],[Team Number]],InnovationProjectResults[Team Number],InnovationProjectResults[Communicate - Fun (CV)])</f>
        <v>0</v>
      </c>
      <c r="H56" s="87">
        <f>_xlfn.XLOOKUP(CoreValuesResults[[#This Row],[Team Number]],RobotDesignResults[Team Number],RobotDesignResults[Identify - Research (CV)])</f>
        <v>0</v>
      </c>
      <c r="I56" s="87">
        <f>_xlfn.XLOOKUP(CoreValuesResults[[#This Row],[Team Number]],RobotDesignResults[Team Number],RobotDesignResults[Design - Ideas (CV)])</f>
        <v>0</v>
      </c>
      <c r="J56" s="87">
        <f>_xlfn.XLOOKUP(CoreValuesResults[[#This Row],[Team Number]],RobotDesignResults[Team Number],RobotDesignResults[Iterate - Improvements (CV)])</f>
        <v>0</v>
      </c>
      <c r="K56" s="87">
        <f>_xlfn.XLOOKUP(CoreValuesResults[[#This Row],[Team Number]],RobotDesignResults[Team Number],RobotDesignResults[Communicate - Impact (CV)])</f>
        <v>0</v>
      </c>
      <c r="L56" s="87">
        <f>_xlfn.XLOOKUP(CoreValuesResults[[#This Row],[Team Number]],RobotDesignResults[Team Number],RobotDesignResults[Communicate - Fun (CV)])</f>
        <v>0</v>
      </c>
      <c r="M56" s="17"/>
      <c r="N56" s="17"/>
      <c r="O56" s="17"/>
      <c r="P56" s="17"/>
      <c r="Q56" s="17"/>
      <c r="R56" s="12" t="str">
        <f>IF(CoreValuesResults[[#This Row],[Gracious Professionalism 1]]="","",COUNTIF(CoreValuesResults[[#This Row],[Gracious Professionalism 1]:[Gracious Professionalism 5]],""))</f>
        <v/>
      </c>
      <c r="S56" s="12" t="str">
        <f>IF(CoreValuesResults[[#This Row],[Gracious Professionalism 1]]="","",SUM(CoreValuesResults[[#This Row],[Gracious Professionalism 1]:[Gracious Professionalism 5]]))</f>
        <v/>
      </c>
      <c r="T56"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56" s="81">
        <f>SUM(CoreValuesResults[[#This Row],[Discovery (IP)]:[Fun (RD)]],CoreValuesResults[[#This Row],[Gracious Professionalism Score]])</f>
        <v>0</v>
      </c>
      <c r="V56" s="43">
        <f>IF(CoreValuesResults[[#This Row],[Team Number]]&gt;0,MIN(_xlfn.RANK.EQ(CoreValuesResults[[#This Row],[Core Values Score]],CoreValuesResults[Core Values Score],0),NumberOfTeams),NumberOfTeams+1)</f>
        <v>1</v>
      </c>
      <c r="W56" s="82"/>
      <c r="X56" s="82"/>
      <c r="Y56" s="82"/>
    </row>
    <row r="57" spans="1:25" ht="30" customHeight="1" x14ac:dyDescent="0.45">
      <c r="A57" s="12">
        <f>_xlfn.XLOOKUP(56,OfficialTeamList[Row],OfficialTeamList[Team Number],"ERROR",0)</f>
        <v>0</v>
      </c>
      <c r="B57" s="42" t="str">
        <f>_xlfn.XLOOKUP(CoreValuesResults[[#This Row],[Team Number]],OfficialTeamList[Team Number],OfficialTeamList[Team Name],"",0,)</f>
        <v/>
      </c>
      <c r="C57" s="87">
        <f>_xlfn.XLOOKUP(CoreValuesResults[[#This Row],[Team Number]],InnovationProjectResults[Team Number],InnovationProjectResults[Identify - Research (CV)])</f>
        <v>0</v>
      </c>
      <c r="D57" s="87">
        <f>_xlfn.XLOOKUP(CoreValuesResults[[#This Row],[Team Number]],InnovationProjectResults[Team Number],InnovationProjectResults[Design - Teamwork (CV)])</f>
        <v>0</v>
      </c>
      <c r="E57" s="87">
        <f>_xlfn.XLOOKUP(CoreValuesResults[[#This Row],[Team Number]],InnovationProjectResults[Team Number],InnovationProjectResults[Create - Innovation (CV)])</f>
        <v>0</v>
      </c>
      <c r="F57" s="87">
        <f>_xlfn.XLOOKUP(CoreValuesResults[[#This Row],[Team Number]],InnovationProjectResults[Team Number],InnovationProjectResults[Communicate - Impact (CV)])</f>
        <v>0</v>
      </c>
      <c r="G57" s="87">
        <f>_xlfn.XLOOKUP(CoreValuesResults[[#This Row],[Team Number]],InnovationProjectResults[Team Number],InnovationProjectResults[Communicate - Fun (CV)])</f>
        <v>0</v>
      </c>
      <c r="H57" s="87">
        <f>_xlfn.XLOOKUP(CoreValuesResults[[#This Row],[Team Number]],RobotDesignResults[Team Number],RobotDesignResults[Identify - Research (CV)])</f>
        <v>0</v>
      </c>
      <c r="I57" s="87">
        <f>_xlfn.XLOOKUP(CoreValuesResults[[#This Row],[Team Number]],RobotDesignResults[Team Number],RobotDesignResults[Design - Ideas (CV)])</f>
        <v>0</v>
      </c>
      <c r="J57" s="87">
        <f>_xlfn.XLOOKUP(CoreValuesResults[[#This Row],[Team Number]],RobotDesignResults[Team Number],RobotDesignResults[Iterate - Improvements (CV)])</f>
        <v>0</v>
      </c>
      <c r="K57" s="87">
        <f>_xlfn.XLOOKUP(CoreValuesResults[[#This Row],[Team Number]],RobotDesignResults[Team Number],RobotDesignResults[Communicate - Impact (CV)])</f>
        <v>0</v>
      </c>
      <c r="L57" s="87">
        <f>_xlfn.XLOOKUP(CoreValuesResults[[#This Row],[Team Number]],RobotDesignResults[Team Number],RobotDesignResults[Communicate - Fun (CV)])</f>
        <v>0</v>
      </c>
      <c r="M57" s="17"/>
      <c r="N57" s="17"/>
      <c r="O57" s="17"/>
      <c r="P57" s="17"/>
      <c r="Q57" s="17"/>
      <c r="R57" s="12" t="str">
        <f>IF(CoreValuesResults[[#This Row],[Gracious Professionalism 1]]="","",COUNTIF(CoreValuesResults[[#This Row],[Gracious Professionalism 1]:[Gracious Professionalism 5]],""))</f>
        <v/>
      </c>
      <c r="S57" s="12" t="str">
        <f>IF(CoreValuesResults[[#This Row],[Gracious Professionalism 1]]="","",SUM(CoreValuesResults[[#This Row],[Gracious Professionalism 1]:[Gracious Professionalism 5]]))</f>
        <v/>
      </c>
      <c r="T57"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57" s="81">
        <f>SUM(CoreValuesResults[[#This Row],[Discovery (IP)]:[Fun (RD)]],CoreValuesResults[[#This Row],[Gracious Professionalism Score]])</f>
        <v>0</v>
      </c>
      <c r="V57" s="43">
        <f>IF(CoreValuesResults[[#This Row],[Team Number]]&gt;0,MIN(_xlfn.RANK.EQ(CoreValuesResults[[#This Row],[Core Values Score]],CoreValuesResults[Core Values Score],0),NumberOfTeams),NumberOfTeams+1)</f>
        <v>1</v>
      </c>
      <c r="W57" s="82"/>
      <c r="X57" s="82"/>
      <c r="Y57" s="82"/>
    </row>
    <row r="58" spans="1:25" ht="30" customHeight="1" x14ac:dyDescent="0.45">
      <c r="A58" s="12">
        <f>_xlfn.XLOOKUP(57,OfficialTeamList[Row],OfficialTeamList[Team Number],"ERROR",0)</f>
        <v>0</v>
      </c>
      <c r="B58" s="42" t="str">
        <f>_xlfn.XLOOKUP(CoreValuesResults[[#This Row],[Team Number]],OfficialTeamList[Team Number],OfficialTeamList[Team Name],"",0,)</f>
        <v/>
      </c>
      <c r="C58" s="87">
        <f>_xlfn.XLOOKUP(CoreValuesResults[[#This Row],[Team Number]],InnovationProjectResults[Team Number],InnovationProjectResults[Identify - Research (CV)])</f>
        <v>0</v>
      </c>
      <c r="D58" s="87">
        <f>_xlfn.XLOOKUP(CoreValuesResults[[#This Row],[Team Number]],InnovationProjectResults[Team Number],InnovationProjectResults[Design - Teamwork (CV)])</f>
        <v>0</v>
      </c>
      <c r="E58" s="87">
        <f>_xlfn.XLOOKUP(CoreValuesResults[[#This Row],[Team Number]],InnovationProjectResults[Team Number],InnovationProjectResults[Create - Innovation (CV)])</f>
        <v>0</v>
      </c>
      <c r="F58" s="87">
        <f>_xlfn.XLOOKUP(CoreValuesResults[[#This Row],[Team Number]],InnovationProjectResults[Team Number],InnovationProjectResults[Communicate - Impact (CV)])</f>
        <v>0</v>
      </c>
      <c r="G58" s="87">
        <f>_xlfn.XLOOKUP(CoreValuesResults[[#This Row],[Team Number]],InnovationProjectResults[Team Number],InnovationProjectResults[Communicate - Fun (CV)])</f>
        <v>0</v>
      </c>
      <c r="H58" s="87">
        <f>_xlfn.XLOOKUP(CoreValuesResults[[#This Row],[Team Number]],RobotDesignResults[Team Number],RobotDesignResults[Identify - Research (CV)])</f>
        <v>0</v>
      </c>
      <c r="I58" s="87">
        <f>_xlfn.XLOOKUP(CoreValuesResults[[#This Row],[Team Number]],RobotDesignResults[Team Number],RobotDesignResults[Design - Ideas (CV)])</f>
        <v>0</v>
      </c>
      <c r="J58" s="87">
        <f>_xlfn.XLOOKUP(CoreValuesResults[[#This Row],[Team Number]],RobotDesignResults[Team Number],RobotDesignResults[Iterate - Improvements (CV)])</f>
        <v>0</v>
      </c>
      <c r="K58" s="87">
        <f>_xlfn.XLOOKUP(CoreValuesResults[[#This Row],[Team Number]],RobotDesignResults[Team Number],RobotDesignResults[Communicate - Impact (CV)])</f>
        <v>0</v>
      </c>
      <c r="L58" s="87">
        <f>_xlfn.XLOOKUP(CoreValuesResults[[#This Row],[Team Number]],RobotDesignResults[Team Number],RobotDesignResults[Communicate - Fun (CV)])</f>
        <v>0</v>
      </c>
      <c r="M58" s="17"/>
      <c r="N58" s="17"/>
      <c r="O58" s="17"/>
      <c r="P58" s="17"/>
      <c r="Q58" s="17"/>
      <c r="R58" s="12" t="str">
        <f>IF(CoreValuesResults[[#This Row],[Gracious Professionalism 1]]="","",COUNTIF(CoreValuesResults[[#This Row],[Gracious Professionalism 1]:[Gracious Professionalism 5]],""))</f>
        <v/>
      </c>
      <c r="S58" s="12" t="str">
        <f>IF(CoreValuesResults[[#This Row],[Gracious Professionalism 1]]="","",SUM(CoreValuesResults[[#This Row],[Gracious Professionalism 1]:[Gracious Professionalism 5]]))</f>
        <v/>
      </c>
      <c r="T58"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58" s="81">
        <f>SUM(CoreValuesResults[[#This Row],[Discovery (IP)]:[Fun (RD)]],CoreValuesResults[[#This Row],[Gracious Professionalism Score]])</f>
        <v>0</v>
      </c>
      <c r="V58" s="43">
        <f>IF(CoreValuesResults[[#This Row],[Team Number]]&gt;0,MIN(_xlfn.RANK.EQ(CoreValuesResults[[#This Row],[Core Values Score]],CoreValuesResults[Core Values Score],0),NumberOfTeams),NumberOfTeams+1)</f>
        <v>1</v>
      </c>
      <c r="W58" s="82"/>
      <c r="X58" s="82"/>
      <c r="Y58" s="82"/>
    </row>
    <row r="59" spans="1:25" ht="30" customHeight="1" x14ac:dyDescent="0.45">
      <c r="A59" s="12">
        <f>_xlfn.XLOOKUP(58,OfficialTeamList[Row],OfficialTeamList[Team Number],"ERROR",0)</f>
        <v>0</v>
      </c>
      <c r="B59" s="42" t="str">
        <f>_xlfn.XLOOKUP(CoreValuesResults[[#This Row],[Team Number]],OfficialTeamList[Team Number],OfficialTeamList[Team Name],"",0,)</f>
        <v/>
      </c>
      <c r="C59" s="87">
        <f>_xlfn.XLOOKUP(CoreValuesResults[[#This Row],[Team Number]],InnovationProjectResults[Team Number],InnovationProjectResults[Identify - Research (CV)])</f>
        <v>0</v>
      </c>
      <c r="D59" s="87">
        <f>_xlfn.XLOOKUP(CoreValuesResults[[#This Row],[Team Number]],InnovationProjectResults[Team Number],InnovationProjectResults[Design - Teamwork (CV)])</f>
        <v>0</v>
      </c>
      <c r="E59" s="87">
        <f>_xlfn.XLOOKUP(CoreValuesResults[[#This Row],[Team Number]],InnovationProjectResults[Team Number],InnovationProjectResults[Create - Innovation (CV)])</f>
        <v>0</v>
      </c>
      <c r="F59" s="87">
        <f>_xlfn.XLOOKUP(CoreValuesResults[[#This Row],[Team Number]],InnovationProjectResults[Team Number],InnovationProjectResults[Communicate - Impact (CV)])</f>
        <v>0</v>
      </c>
      <c r="G59" s="87">
        <f>_xlfn.XLOOKUP(CoreValuesResults[[#This Row],[Team Number]],InnovationProjectResults[Team Number],InnovationProjectResults[Communicate - Fun (CV)])</f>
        <v>0</v>
      </c>
      <c r="H59" s="87">
        <f>_xlfn.XLOOKUP(CoreValuesResults[[#This Row],[Team Number]],RobotDesignResults[Team Number],RobotDesignResults[Identify - Research (CV)])</f>
        <v>0</v>
      </c>
      <c r="I59" s="87">
        <f>_xlfn.XLOOKUP(CoreValuesResults[[#This Row],[Team Number]],RobotDesignResults[Team Number],RobotDesignResults[Design - Ideas (CV)])</f>
        <v>0</v>
      </c>
      <c r="J59" s="87">
        <f>_xlfn.XLOOKUP(CoreValuesResults[[#This Row],[Team Number]],RobotDesignResults[Team Number],RobotDesignResults[Iterate - Improvements (CV)])</f>
        <v>0</v>
      </c>
      <c r="K59" s="87">
        <f>_xlfn.XLOOKUP(CoreValuesResults[[#This Row],[Team Number]],RobotDesignResults[Team Number],RobotDesignResults[Communicate - Impact (CV)])</f>
        <v>0</v>
      </c>
      <c r="L59" s="87">
        <f>_xlfn.XLOOKUP(CoreValuesResults[[#This Row],[Team Number]],RobotDesignResults[Team Number],RobotDesignResults[Communicate - Fun (CV)])</f>
        <v>0</v>
      </c>
      <c r="M59" s="17"/>
      <c r="N59" s="17"/>
      <c r="O59" s="17"/>
      <c r="P59" s="17"/>
      <c r="Q59" s="17"/>
      <c r="R59" s="12" t="str">
        <f>IF(CoreValuesResults[[#This Row],[Gracious Professionalism 1]]="","",COUNTIF(CoreValuesResults[[#This Row],[Gracious Professionalism 1]:[Gracious Professionalism 5]],""))</f>
        <v/>
      </c>
      <c r="S59" s="12" t="str">
        <f>IF(CoreValuesResults[[#This Row],[Gracious Professionalism 1]]="","",SUM(CoreValuesResults[[#This Row],[Gracious Professionalism 1]:[Gracious Professionalism 5]]))</f>
        <v/>
      </c>
      <c r="T59"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59" s="81">
        <f>SUM(CoreValuesResults[[#This Row],[Discovery (IP)]:[Fun (RD)]],CoreValuesResults[[#This Row],[Gracious Professionalism Score]])</f>
        <v>0</v>
      </c>
      <c r="V59" s="43">
        <f>IF(CoreValuesResults[[#This Row],[Team Number]]&gt;0,MIN(_xlfn.RANK.EQ(CoreValuesResults[[#This Row],[Core Values Score]],CoreValuesResults[Core Values Score],0),NumberOfTeams),NumberOfTeams+1)</f>
        <v>1</v>
      </c>
      <c r="W59" s="82"/>
      <c r="X59" s="82"/>
      <c r="Y59" s="82"/>
    </row>
    <row r="60" spans="1:25" ht="30" customHeight="1" x14ac:dyDescent="0.45">
      <c r="A60" s="12">
        <f>_xlfn.XLOOKUP(59,OfficialTeamList[Row],OfficialTeamList[Team Number],"ERROR",0)</f>
        <v>0</v>
      </c>
      <c r="B60" s="42" t="str">
        <f>_xlfn.XLOOKUP(CoreValuesResults[[#This Row],[Team Number]],OfficialTeamList[Team Number],OfficialTeamList[Team Name],"",0,)</f>
        <v/>
      </c>
      <c r="C60" s="87">
        <f>_xlfn.XLOOKUP(CoreValuesResults[[#This Row],[Team Number]],InnovationProjectResults[Team Number],InnovationProjectResults[Identify - Research (CV)])</f>
        <v>0</v>
      </c>
      <c r="D60" s="87">
        <f>_xlfn.XLOOKUP(CoreValuesResults[[#This Row],[Team Number]],InnovationProjectResults[Team Number],InnovationProjectResults[Design - Teamwork (CV)])</f>
        <v>0</v>
      </c>
      <c r="E60" s="87">
        <f>_xlfn.XLOOKUP(CoreValuesResults[[#This Row],[Team Number]],InnovationProjectResults[Team Number],InnovationProjectResults[Create - Innovation (CV)])</f>
        <v>0</v>
      </c>
      <c r="F60" s="87">
        <f>_xlfn.XLOOKUP(CoreValuesResults[[#This Row],[Team Number]],InnovationProjectResults[Team Number],InnovationProjectResults[Communicate - Impact (CV)])</f>
        <v>0</v>
      </c>
      <c r="G60" s="87">
        <f>_xlfn.XLOOKUP(CoreValuesResults[[#This Row],[Team Number]],InnovationProjectResults[Team Number],InnovationProjectResults[Communicate - Fun (CV)])</f>
        <v>0</v>
      </c>
      <c r="H60" s="87">
        <f>_xlfn.XLOOKUP(CoreValuesResults[[#This Row],[Team Number]],RobotDesignResults[Team Number],RobotDesignResults[Identify - Research (CV)])</f>
        <v>0</v>
      </c>
      <c r="I60" s="87">
        <f>_xlfn.XLOOKUP(CoreValuesResults[[#This Row],[Team Number]],RobotDesignResults[Team Number],RobotDesignResults[Design - Ideas (CV)])</f>
        <v>0</v>
      </c>
      <c r="J60" s="87">
        <f>_xlfn.XLOOKUP(CoreValuesResults[[#This Row],[Team Number]],RobotDesignResults[Team Number],RobotDesignResults[Iterate - Improvements (CV)])</f>
        <v>0</v>
      </c>
      <c r="K60" s="87">
        <f>_xlfn.XLOOKUP(CoreValuesResults[[#This Row],[Team Number]],RobotDesignResults[Team Number],RobotDesignResults[Communicate - Impact (CV)])</f>
        <v>0</v>
      </c>
      <c r="L60" s="87">
        <f>_xlfn.XLOOKUP(CoreValuesResults[[#This Row],[Team Number]],RobotDesignResults[Team Number],RobotDesignResults[Communicate - Fun (CV)])</f>
        <v>0</v>
      </c>
      <c r="M60" s="17"/>
      <c r="N60" s="17"/>
      <c r="O60" s="17"/>
      <c r="P60" s="17"/>
      <c r="Q60" s="17"/>
      <c r="R60" s="12" t="str">
        <f>IF(CoreValuesResults[[#This Row],[Gracious Professionalism 1]]="","",COUNTIF(CoreValuesResults[[#This Row],[Gracious Professionalism 1]:[Gracious Professionalism 5]],""))</f>
        <v/>
      </c>
      <c r="S60" s="12" t="str">
        <f>IF(CoreValuesResults[[#This Row],[Gracious Professionalism 1]]="","",SUM(CoreValuesResults[[#This Row],[Gracious Professionalism 1]:[Gracious Professionalism 5]]))</f>
        <v/>
      </c>
      <c r="T60"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60" s="81">
        <f>SUM(CoreValuesResults[[#This Row],[Discovery (IP)]:[Fun (RD)]],CoreValuesResults[[#This Row],[Gracious Professionalism Score]])</f>
        <v>0</v>
      </c>
      <c r="V60" s="43">
        <f>IF(CoreValuesResults[[#This Row],[Team Number]]&gt;0,MIN(_xlfn.RANK.EQ(CoreValuesResults[[#This Row],[Core Values Score]],CoreValuesResults[Core Values Score],0),NumberOfTeams),NumberOfTeams+1)</f>
        <v>1</v>
      </c>
      <c r="W60" s="82"/>
      <c r="X60" s="82"/>
      <c r="Y60" s="82"/>
    </row>
    <row r="61" spans="1:25" ht="30" customHeight="1" x14ac:dyDescent="0.45">
      <c r="A61" s="12">
        <f>_xlfn.XLOOKUP(60,OfficialTeamList[Row],OfficialTeamList[Team Number],"ERROR",0)</f>
        <v>0</v>
      </c>
      <c r="B61" s="42" t="str">
        <f>_xlfn.XLOOKUP(CoreValuesResults[[#This Row],[Team Number]],OfficialTeamList[Team Number],OfficialTeamList[Team Name],"",0,)</f>
        <v/>
      </c>
      <c r="C61" s="87">
        <f>_xlfn.XLOOKUP(CoreValuesResults[[#This Row],[Team Number]],InnovationProjectResults[Team Number],InnovationProjectResults[Identify - Research (CV)])</f>
        <v>0</v>
      </c>
      <c r="D61" s="87">
        <f>_xlfn.XLOOKUP(CoreValuesResults[[#This Row],[Team Number]],InnovationProjectResults[Team Number],InnovationProjectResults[Design - Teamwork (CV)])</f>
        <v>0</v>
      </c>
      <c r="E61" s="87">
        <f>_xlfn.XLOOKUP(CoreValuesResults[[#This Row],[Team Number]],InnovationProjectResults[Team Number],InnovationProjectResults[Create - Innovation (CV)])</f>
        <v>0</v>
      </c>
      <c r="F61" s="87">
        <f>_xlfn.XLOOKUP(CoreValuesResults[[#This Row],[Team Number]],InnovationProjectResults[Team Number],InnovationProjectResults[Communicate - Impact (CV)])</f>
        <v>0</v>
      </c>
      <c r="G61" s="87">
        <f>_xlfn.XLOOKUP(CoreValuesResults[[#This Row],[Team Number]],InnovationProjectResults[Team Number],InnovationProjectResults[Communicate - Fun (CV)])</f>
        <v>0</v>
      </c>
      <c r="H61" s="87">
        <f>_xlfn.XLOOKUP(CoreValuesResults[[#This Row],[Team Number]],RobotDesignResults[Team Number],RobotDesignResults[Identify - Research (CV)])</f>
        <v>0</v>
      </c>
      <c r="I61" s="87">
        <f>_xlfn.XLOOKUP(CoreValuesResults[[#This Row],[Team Number]],RobotDesignResults[Team Number],RobotDesignResults[Design - Ideas (CV)])</f>
        <v>0</v>
      </c>
      <c r="J61" s="87">
        <f>_xlfn.XLOOKUP(CoreValuesResults[[#This Row],[Team Number]],RobotDesignResults[Team Number],RobotDesignResults[Iterate - Improvements (CV)])</f>
        <v>0</v>
      </c>
      <c r="K61" s="87">
        <f>_xlfn.XLOOKUP(CoreValuesResults[[#This Row],[Team Number]],RobotDesignResults[Team Number],RobotDesignResults[Communicate - Impact (CV)])</f>
        <v>0</v>
      </c>
      <c r="L61" s="87">
        <f>_xlfn.XLOOKUP(CoreValuesResults[[#This Row],[Team Number]],RobotDesignResults[Team Number],RobotDesignResults[Communicate - Fun (CV)])</f>
        <v>0</v>
      </c>
      <c r="M61" s="17"/>
      <c r="N61" s="17"/>
      <c r="O61" s="17"/>
      <c r="P61" s="17"/>
      <c r="Q61" s="17"/>
      <c r="R61" s="12" t="str">
        <f>IF(CoreValuesResults[[#This Row],[Gracious Professionalism 1]]="","",COUNTIF(CoreValuesResults[[#This Row],[Gracious Professionalism 1]:[Gracious Professionalism 5]],""))</f>
        <v/>
      </c>
      <c r="S61" s="12" t="str">
        <f>IF(CoreValuesResults[[#This Row],[Gracious Professionalism 1]]="","",SUM(CoreValuesResults[[#This Row],[Gracious Professionalism 1]:[Gracious Professionalism 5]]))</f>
        <v/>
      </c>
      <c r="T61"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61" s="81">
        <f>SUM(CoreValuesResults[[#This Row],[Discovery (IP)]:[Fun (RD)]],CoreValuesResults[[#This Row],[Gracious Professionalism Score]])</f>
        <v>0</v>
      </c>
      <c r="V61" s="43">
        <f>IF(CoreValuesResults[[#This Row],[Team Number]]&gt;0,MIN(_xlfn.RANK.EQ(CoreValuesResults[[#This Row],[Core Values Score]],CoreValuesResults[Core Values Score],0),NumberOfTeams),NumberOfTeams+1)</f>
        <v>1</v>
      </c>
      <c r="W61" s="82"/>
      <c r="X61" s="82"/>
      <c r="Y61" s="82"/>
    </row>
    <row r="62" spans="1:25" ht="30" customHeight="1" x14ac:dyDescent="0.45">
      <c r="A62" s="12">
        <f>_xlfn.XLOOKUP(61,OfficialTeamList[Row],OfficialTeamList[Team Number],"ERROR",0)</f>
        <v>0</v>
      </c>
      <c r="B62" s="42" t="str">
        <f>_xlfn.XLOOKUP(CoreValuesResults[[#This Row],[Team Number]],OfficialTeamList[Team Number],OfficialTeamList[Team Name],"",0,)</f>
        <v/>
      </c>
      <c r="C62" s="87">
        <f>_xlfn.XLOOKUP(CoreValuesResults[[#This Row],[Team Number]],InnovationProjectResults[Team Number],InnovationProjectResults[Identify - Research (CV)])</f>
        <v>0</v>
      </c>
      <c r="D62" s="87">
        <f>_xlfn.XLOOKUP(CoreValuesResults[[#This Row],[Team Number]],InnovationProjectResults[Team Number],InnovationProjectResults[Design - Teamwork (CV)])</f>
        <v>0</v>
      </c>
      <c r="E62" s="87">
        <f>_xlfn.XLOOKUP(CoreValuesResults[[#This Row],[Team Number]],InnovationProjectResults[Team Number],InnovationProjectResults[Create - Innovation (CV)])</f>
        <v>0</v>
      </c>
      <c r="F62" s="87">
        <f>_xlfn.XLOOKUP(CoreValuesResults[[#This Row],[Team Number]],InnovationProjectResults[Team Number],InnovationProjectResults[Communicate - Impact (CV)])</f>
        <v>0</v>
      </c>
      <c r="G62" s="87">
        <f>_xlfn.XLOOKUP(CoreValuesResults[[#This Row],[Team Number]],InnovationProjectResults[Team Number],InnovationProjectResults[Communicate - Fun (CV)])</f>
        <v>0</v>
      </c>
      <c r="H62" s="87">
        <f>_xlfn.XLOOKUP(CoreValuesResults[[#This Row],[Team Number]],RobotDesignResults[Team Number],RobotDesignResults[Identify - Research (CV)])</f>
        <v>0</v>
      </c>
      <c r="I62" s="87">
        <f>_xlfn.XLOOKUP(CoreValuesResults[[#This Row],[Team Number]],RobotDesignResults[Team Number],RobotDesignResults[Design - Ideas (CV)])</f>
        <v>0</v>
      </c>
      <c r="J62" s="87">
        <f>_xlfn.XLOOKUP(CoreValuesResults[[#This Row],[Team Number]],RobotDesignResults[Team Number],RobotDesignResults[Iterate - Improvements (CV)])</f>
        <v>0</v>
      </c>
      <c r="K62" s="87">
        <f>_xlfn.XLOOKUP(CoreValuesResults[[#This Row],[Team Number]],RobotDesignResults[Team Number],RobotDesignResults[Communicate - Impact (CV)])</f>
        <v>0</v>
      </c>
      <c r="L62" s="87">
        <f>_xlfn.XLOOKUP(CoreValuesResults[[#This Row],[Team Number]],RobotDesignResults[Team Number],RobotDesignResults[Communicate - Fun (CV)])</f>
        <v>0</v>
      </c>
      <c r="M62" s="17"/>
      <c r="N62" s="17"/>
      <c r="O62" s="17"/>
      <c r="P62" s="17"/>
      <c r="Q62" s="17"/>
      <c r="R62" s="12" t="str">
        <f>IF(CoreValuesResults[[#This Row],[Gracious Professionalism 1]]="","",COUNTIF(CoreValuesResults[[#This Row],[Gracious Professionalism 1]:[Gracious Professionalism 5]],""))</f>
        <v/>
      </c>
      <c r="S62" s="12" t="str">
        <f>IF(CoreValuesResults[[#This Row],[Gracious Professionalism 1]]="","",SUM(CoreValuesResults[[#This Row],[Gracious Professionalism 1]:[Gracious Professionalism 5]]))</f>
        <v/>
      </c>
      <c r="T62"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62" s="81">
        <f>SUM(CoreValuesResults[[#This Row],[Discovery (IP)]:[Fun (RD)]],CoreValuesResults[[#This Row],[Gracious Professionalism Score]])</f>
        <v>0</v>
      </c>
      <c r="V62" s="43">
        <f>IF(CoreValuesResults[[#This Row],[Team Number]]&gt;0,MIN(_xlfn.RANK.EQ(CoreValuesResults[[#This Row],[Core Values Score]],CoreValuesResults[Core Values Score],0),NumberOfTeams),NumberOfTeams+1)</f>
        <v>1</v>
      </c>
      <c r="W62" s="82"/>
      <c r="X62" s="82"/>
      <c r="Y62" s="82"/>
    </row>
    <row r="63" spans="1:25" ht="30" customHeight="1" x14ac:dyDescent="0.45">
      <c r="A63" s="12">
        <f>_xlfn.XLOOKUP(62,OfficialTeamList[Row],OfficialTeamList[Team Number],"ERROR",0)</f>
        <v>0</v>
      </c>
      <c r="B63" s="42" t="str">
        <f>_xlfn.XLOOKUP(CoreValuesResults[[#This Row],[Team Number]],OfficialTeamList[Team Number],OfficialTeamList[Team Name],"",0,)</f>
        <v/>
      </c>
      <c r="C63" s="87">
        <f>_xlfn.XLOOKUP(CoreValuesResults[[#This Row],[Team Number]],InnovationProjectResults[Team Number],InnovationProjectResults[Identify - Research (CV)])</f>
        <v>0</v>
      </c>
      <c r="D63" s="87">
        <f>_xlfn.XLOOKUP(CoreValuesResults[[#This Row],[Team Number]],InnovationProjectResults[Team Number],InnovationProjectResults[Design - Teamwork (CV)])</f>
        <v>0</v>
      </c>
      <c r="E63" s="87">
        <f>_xlfn.XLOOKUP(CoreValuesResults[[#This Row],[Team Number]],InnovationProjectResults[Team Number],InnovationProjectResults[Create - Innovation (CV)])</f>
        <v>0</v>
      </c>
      <c r="F63" s="87">
        <f>_xlfn.XLOOKUP(CoreValuesResults[[#This Row],[Team Number]],InnovationProjectResults[Team Number],InnovationProjectResults[Communicate - Impact (CV)])</f>
        <v>0</v>
      </c>
      <c r="G63" s="87">
        <f>_xlfn.XLOOKUP(CoreValuesResults[[#This Row],[Team Number]],InnovationProjectResults[Team Number],InnovationProjectResults[Communicate - Fun (CV)])</f>
        <v>0</v>
      </c>
      <c r="H63" s="87">
        <f>_xlfn.XLOOKUP(CoreValuesResults[[#This Row],[Team Number]],RobotDesignResults[Team Number],RobotDesignResults[Identify - Research (CV)])</f>
        <v>0</v>
      </c>
      <c r="I63" s="87">
        <f>_xlfn.XLOOKUP(CoreValuesResults[[#This Row],[Team Number]],RobotDesignResults[Team Number],RobotDesignResults[Design - Ideas (CV)])</f>
        <v>0</v>
      </c>
      <c r="J63" s="87">
        <f>_xlfn.XLOOKUP(CoreValuesResults[[#This Row],[Team Number]],RobotDesignResults[Team Number],RobotDesignResults[Iterate - Improvements (CV)])</f>
        <v>0</v>
      </c>
      <c r="K63" s="87">
        <f>_xlfn.XLOOKUP(CoreValuesResults[[#This Row],[Team Number]],RobotDesignResults[Team Number],RobotDesignResults[Communicate - Impact (CV)])</f>
        <v>0</v>
      </c>
      <c r="L63" s="87">
        <f>_xlfn.XLOOKUP(CoreValuesResults[[#This Row],[Team Number]],RobotDesignResults[Team Number],RobotDesignResults[Communicate - Fun (CV)])</f>
        <v>0</v>
      </c>
      <c r="M63" s="17"/>
      <c r="N63" s="17"/>
      <c r="O63" s="17"/>
      <c r="P63" s="17"/>
      <c r="Q63" s="17"/>
      <c r="R63" s="12" t="str">
        <f>IF(CoreValuesResults[[#This Row],[Gracious Professionalism 1]]="","",COUNTIF(CoreValuesResults[[#This Row],[Gracious Professionalism 1]:[Gracious Professionalism 5]],""))</f>
        <v/>
      </c>
      <c r="S63" s="12" t="str">
        <f>IF(CoreValuesResults[[#This Row],[Gracious Professionalism 1]]="","",SUM(CoreValuesResults[[#This Row],[Gracious Professionalism 1]:[Gracious Professionalism 5]]))</f>
        <v/>
      </c>
      <c r="T63"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63" s="81">
        <f>SUM(CoreValuesResults[[#This Row],[Discovery (IP)]:[Fun (RD)]],CoreValuesResults[[#This Row],[Gracious Professionalism Score]])</f>
        <v>0</v>
      </c>
      <c r="V63" s="43">
        <f>IF(CoreValuesResults[[#This Row],[Team Number]]&gt;0,MIN(_xlfn.RANK.EQ(CoreValuesResults[[#This Row],[Core Values Score]],CoreValuesResults[Core Values Score],0),NumberOfTeams),NumberOfTeams+1)</f>
        <v>1</v>
      </c>
      <c r="W63" s="82"/>
      <c r="X63" s="82"/>
      <c r="Y63" s="82"/>
    </row>
    <row r="64" spans="1:25" ht="30" customHeight="1" x14ac:dyDescent="0.45">
      <c r="A64" s="12">
        <f>_xlfn.XLOOKUP(63,OfficialTeamList[Row],OfficialTeamList[Team Number],"ERROR",0)</f>
        <v>0</v>
      </c>
      <c r="B64" s="42" t="str">
        <f>_xlfn.XLOOKUP(CoreValuesResults[[#This Row],[Team Number]],OfficialTeamList[Team Number],OfficialTeamList[Team Name],"",0,)</f>
        <v/>
      </c>
      <c r="C64" s="87">
        <f>_xlfn.XLOOKUP(CoreValuesResults[[#This Row],[Team Number]],InnovationProjectResults[Team Number],InnovationProjectResults[Identify - Research (CV)])</f>
        <v>0</v>
      </c>
      <c r="D64" s="87">
        <f>_xlfn.XLOOKUP(CoreValuesResults[[#This Row],[Team Number]],InnovationProjectResults[Team Number],InnovationProjectResults[Design - Teamwork (CV)])</f>
        <v>0</v>
      </c>
      <c r="E64" s="87">
        <f>_xlfn.XLOOKUP(CoreValuesResults[[#This Row],[Team Number]],InnovationProjectResults[Team Number],InnovationProjectResults[Create - Innovation (CV)])</f>
        <v>0</v>
      </c>
      <c r="F64" s="87">
        <f>_xlfn.XLOOKUP(CoreValuesResults[[#This Row],[Team Number]],InnovationProjectResults[Team Number],InnovationProjectResults[Communicate - Impact (CV)])</f>
        <v>0</v>
      </c>
      <c r="G64" s="87">
        <f>_xlfn.XLOOKUP(CoreValuesResults[[#This Row],[Team Number]],InnovationProjectResults[Team Number],InnovationProjectResults[Communicate - Fun (CV)])</f>
        <v>0</v>
      </c>
      <c r="H64" s="87">
        <f>_xlfn.XLOOKUP(CoreValuesResults[[#This Row],[Team Number]],RobotDesignResults[Team Number],RobotDesignResults[Identify - Research (CV)])</f>
        <v>0</v>
      </c>
      <c r="I64" s="87">
        <f>_xlfn.XLOOKUP(CoreValuesResults[[#This Row],[Team Number]],RobotDesignResults[Team Number],RobotDesignResults[Design - Ideas (CV)])</f>
        <v>0</v>
      </c>
      <c r="J64" s="87">
        <f>_xlfn.XLOOKUP(CoreValuesResults[[#This Row],[Team Number]],RobotDesignResults[Team Number],RobotDesignResults[Iterate - Improvements (CV)])</f>
        <v>0</v>
      </c>
      <c r="K64" s="87">
        <f>_xlfn.XLOOKUP(CoreValuesResults[[#This Row],[Team Number]],RobotDesignResults[Team Number],RobotDesignResults[Communicate - Impact (CV)])</f>
        <v>0</v>
      </c>
      <c r="L64" s="87">
        <f>_xlfn.XLOOKUP(CoreValuesResults[[#This Row],[Team Number]],RobotDesignResults[Team Number],RobotDesignResults[Communicate - Fun (CV)])</f>
        <v>0</v>
      </c>
      <c r="M64" s="17"/>
      <c r="N64" s="17"/>
      <c r="O64" s="17"/>
      <c r="P64" s="17"/>
      <c r="Q64" s="17"/>
      <c r="R64" s="12" t="str">
        <f>IF(CoreValuesResults[[#This Row],[Gracious Professionalism 1]]="","",COUNTIF(CoreValuesResults[[#This Row],[Gracious Professionalism 1]:[Gracious Professionalism 5]],""))</f>
        <v/>
      </c>
      <c r="S64" s="12" t="str">
        <f>IF(CoreValuesResults[[#This Row],[Gracious Professionalism 1]]="","",SUM(CoreValuesResults[[#This Row],[Gracious Professionalism 1]:[Gracious Professionalism 5]]))</f>
        <v/>
      </c>
      <c r="T64"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64" s="81">
        <f>SUM(CoreValuesResults[[#This Row],[Discovery (IP)]:[Fun (RD)]],CoreValuesResults[[#This Row],[Gracious Professionalism Score]])</f>
        <v>0</v>
      </c>
      <c r="V64" s="43">
        <f>IF(CoreValuesResults[[#This Row],[Team Number]]&gt;0,MIN(_xlfn.RANK.EQ(CoreValuesResults[[#This Row],[Core Values Score]],CoreValuesResults[Core Values Score],0),NumberOfTeams),NumberOfTeams+1)</f>
        <v>1</v>
      </c>
      <c r="W64" s="82"/>
      <c r="X64" s="82"/>
      <c r="Y64" s="82"/>
    </row>
    <row r="65" spans="1:25" ht="30" customHeight="1" x14ac:dyDescent="0.45">
      <c r="A65" s="12">
        <f>_xlfn.XLOOKUP(64,OfficialTeamList[Row],OfficialTeamList[Team Number],"ERROR",0)</f>
        <v>0</v>
      </c>
      <c r="B65" s="42" t="str">
        <f>_xlfn.XLOOKUP(CoreValuesResults[[#This Row],[Team Number]],OfficialTeamList[Team Number],OfficialTeamList[Team Name],"",0,)</f>
        <v/>
      </c>
      <c r="C65" s="87">
        <f>_xlfn.XLOOKUP(CoreValuesResults[[#This Row],[Team Number]],InnovationProjectResults[Team Number],InnovationProjectResults[Identify - Research (CV)])</f>
        <v>0</v>
      </c>
      <c r="D65" s="87">
        <f>_xlfn.XLOOKUP(CoreValuesResults[[#This Row],[Team Number]],InnovationProjectResults[Team Number],InnovationProjectResults[Design - Teamwork (CV)])</f>
        <v>0</v>
      </c>
      <c r="E65" s="87">
        <f>_xlfn.XLOOKUP(CoreValuesResults[[#This Row],[Team Number]],InnovationProjectResults[Team Number],InnovationProjectResults[Create - Innovation (CV)])</f>
        <v>0</v>
      </c>
      <c r="F65" s="87">
        <f>_xlfn.XLOOKUP(CoreValuesResults[[#This Row],[Team Number]],InnovationProjectResults[Team Number],InnovationProjectResults[Communicate - Impact (CV)])</f>
        <v>0</v>
      </c>
      <c r="G65" s="87">
        <f>_xlfn.XLOOKUP(CoreValuesResults[[#This Row],[Team Number]],InnovationProjectResults[Team Number],InnovationProjectResults[Communicate - Fun (CV)])</f>
        <v>0</v>
      </c>
      <c r="H65" s="87">
        <f>_xlfn.XLOOKUP(CoreValuesResults[[#This Row],[Team Number]],RobotDesignResults[Team Number],RobotDesignResults[Identify - Research (CV)])</f>
        <v>0</v>
      </c>
      <c r="I65" s="87">
        <f>_xlfn.XLOOKUP(CoreValuesResults[[#This Row],[Team Number]],RobotDesignResults[Team Number],RobotDesignResults[Design - Ideas (CV)])</f>
        <v>0</v>
      </c>
      <c r="J65" s="87">
        <f>_xlfn.XLOOKUP(CoreValuesResults[[#This Row],[Team Number]],RobotDesignResults[Team Number],RobotDesignResults[Iterate - Improvements (CV)])</f>
        <v>0</v>
      </c>
      <c r="K65" s="87">
        <f>_xlfn.XLOOKUP(CoreValuesResults[[#This Row],[Team Number]],RobotDesignResults[Team Number],RobotDesignResults[Communicate - Impact (CV)])</f>
        <v>0</v>
      </c>
      <c r="L65" s="87">
        <f>_xlfn.XLOOKUP(CoreValuesResults[[#This Row],[Team Number]],RobotDesignResults[Team Number],RobotDesignResults[Communicate - Fun (CV)])</f>
        <v>0</v>
      </c>
      <c r="M65" s="17"/>
      <c r="N65" s="17"/>
      <c r="O65" s="17"/>
      <c r="P65" s="17"/>
      <c r="Q65" s="17"/>
      <c r="R65" s="12" t="str">
        <f>IF(CoreValuesResults[[#This Row],[Gracious Professionalism 1]]="","",COUNTIF(CoreValuesResults[[#This Row],[Gracious Professionalism 1]:[Gracious Professionalism 5]],""))</f>
        <v/>
      </c>
      <c r="S65" s="12" t="str">
        <f>IF(CoreValuesResults[[#This Row],[Gracious Professionalism 1]]="","",SUM(CoreValuesResults[[#This Row],[Gracious Professionalism 1]:[Gracious Professionalism 5]]))</f>
        <v/>
      </c>
      <c r="T65"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65" s="81">
        <f>SUM(CoreValuesResults[[#This Row],[Discovery (IP)]:[Fun (RD)]],CoreValuesResults[[#This Row],[Gracious Professionalism Score]])</f>
        <v>0</v>
      </c>
      <c r="V65" s="43">
        <f>IF(CoreValuesResults[[#This Row],[Team Number]]&gt;0,MIN(_xlfn.RANK.EQ(CoreValuesResults[[#This Row],[Core Values Score]],CoreValuesResults[Core Values Score],0),NumberOfTeams),NumberOfTeams+1)</f>
        <v>1</v>
      </c>
      <c r="W65" s="82"/>
      <c r="X65" s="82"/>
      <c r="Y65" s="82"/>
    </row>
    <row r="66" spans="1:25" ht="30" customHeight="1" x14ac:dyDescent="0.45">
      <c r="A66" s="12">
        <f>_xlfn.XLOOKUP(65,OfficialTeamList[Row],OfficialTeamList[Team Number],"ERROR",0)</f>
        <v>0</v>
      </c>
      <c r="B66" s="42" t="str">
        <f>_xlfn.XLOOKUP(CoreValuesResults[[#This Row],[Team Number]],OfficialTeamList[Team Number],OfficialTeamList[Team Name],"",0,)</f>
        <v/>
      </c>
      <c r="C66" s="87">
        <f>_xlfn.XLOOKUP(CoreValuesResults[[#This Row],[Team Number]],InnovationProjectResults[Team Number],InnovationProjectResults[Identify - Research (CV)])</f>
        <v>0</v>
      </c>
      <c r="D66" s="87">
        <f>_xlfn.XLOOKUP(CoreValuesResults[[#This Row],[Team Number]],InnovationProjectResults[Team Number],InnovationProjectResults[Design - Teamwork (CV)])</f>
        <v>0</v>
      </c>
      <c r="E66" s="87">
        <f>_xlfn.XLOOKUP(CoreValuesResults[[#This Row],[Team Number]],InnovationProjectResults[Team Number],InnovationProjectResults[Create - Innovation (CV)])</f>
        <v>0</v>
      </c>
      <c r="F66" s="87">
        <f>_xlfn.XLOOKUP(CoreValuesResults[[#This Row],[Team Number]],InnovationProjectResults[Team Number],InnovationProjectResults[Communicate - Impact (CV)])</f>
        <v>0</v>
      </c>
      <c r="G66" s="87">
        <f>_xlfn.XLOOKUP(CoreValuesResults[[#This Row],[Team Number]],InnovationProjectResults[Team Number],InnovationProjectResults[Communicate - Fun (CV)])</f>
        <v>0</v>
      </c>
      <c r="H66" s="87">
        <f>_xlfn.XLOOKUP(CoreValuesResults[[#This Row],[Team Number]],RobotDesignResults[Team Number],RobotDesignResults[Identify - Research (CV)])</f>
        <v>0</v>
      </c>
      <c r="I66" s="87">
        <f>_xlfn.XLOOKUP(CoreValuesResults[[#This Row],[Team Number]],RobotDesignResults[Team Number],RobotDesignResults[Design - Ideas (CV)])</f>
        <v>0</v>
      </c>
      <c r="J66" s="87">
        <f>_xlfn.XLOOKUP(CoreValuesResults[[#This Row],[Team Number]],RobotDesignResults[Team Number],RobotDesignResults[Iterate - Improvements (CV)])</f>
        <v>0</v>
      </c>
      <c r="K66" s="87">
        <f>_xlfn.XLOOKUP(CoreValuesResults[[#This Row],[Team Number]],RobotDesignResults[Team Number],RobotDesignResults[Communicate - Impact (CV)])</f>
        <v>0</v>
      </c>
      <c r="L66" s="87">
        <f>_xlfn.XLOOKUP(CoreValuesResults[[#This Row],[Team Number]],RobotDesignResults[Team Number],RobotDesignResults[Communicate - Fun (CV)])</f>
        <v>0</v>
      </c>
      <c r="M66" s="17"/>
      <c r="N66" s="17"/>
      <c r="O66" s="17"/>
      <c r="P66" s="17"/>
      <c r="Q66" s="17"/>
      <c r="R66" s="12" t="str">
        <f>IF(CoreValuesResults[[#This Row],[Gracious Professionalism 1]]="","",COUNTIF(CoreValuesResults[[#This Row],[Gracious Professionalism 1]:[Gracious Professionalism 5]],""))</f>
        <v/>
      </c>
      <c r="S66" s="12" t="str">
        <f>IF(CoreValuesResults[[#This Row],[Gracious Professionalism 1]]="","",SUM(CoreValuesResults[[#This Row],[Gracious Professionalism 1]:[Gracious Professionalism 5]]))</f>
        <v/>
      </c>
      <c r="T66"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66" s="81">
        <f>SUM(CoreValuesResults[[#This Row],[Discovery (IP)]:[Fun (RD)]],CoreValuesResults[[#This Row],[Gracious Professionalism Score]])</f>
        <v>0</v>
      </c>
      <c r="V66" s="43">
        <f>IF(CoreValuesResults[[#This Row],[Team Number]]&gt;0,MIN(_xlfn.RANK.EQ(CoreValuesResults[[#This Row],[Core Values Score]],CoreValuesResults[Core Values Score],0),NumberOfTeams),NumberOfTeams+1)</f>
        <v>1</v>
      </c>
      <c r="W66" s="82"/>
      <c r="X66" s="82"/>
      <c r="Y66" s="82"/>
    </row>
    <row r="67" spans="1:25" ht="30" customHeight="1" x14ac:dyDescent="0.45">
      <c r="A67" s="12">
        <f>_xlfn.XLOOKUP(66,OfficialTeamList[Row],OfficialTeamList[Team Number],"ERROR",0)</f>
        <v>0</v>
      </c>
      <c r="B67" s="42" t="str">
        <f>_xlfn.XLOOKUP(CoreValuesResults[[#This Row],[Team Number]],OfficialTeamList[Team Number],OfficialTeamList[Team Name],"",0,)</f>
        <v/>
      </c>
      <c r="C67" s="87">
        <f>_xlfn.XLOOKUP(CoreValuesResults[[#This Row],[Team Number]],InnovationProjectResults[Team Number],InnovationProjectResults[Identify - Research (CV)])</f>
        <v>0</v>
      </c>
      <c r="D67" s="87">
        <f>_xlfn.XLOOKUP(CoreValuesResults[[#This Row],[Team Number]],InnovationProjectResults[Team Number],InnovationProjectResults[Design - Teamwork (CV)])</f>
        <v>0</v>
      </c>
      <c r="E67" s="87">
        <f>_xlfn.XLOOKUP(CoreValuesResults[[#This Row],[Team Number]],InnovationProjectResults[Team Number],InnovationProjectResults[Create - Innovation (CV)])</f>
        <v>0</v>
      </c>
      <c r="F67" s="87">
        <f>_xlfn.XLOOKUP(CoreValuesResults[[#This Row],[Team Number]],InnovationProjectResults[Team Number],InnovationProjectResults[Communicate - Impact (CV)])</f>
        <v>0</v>
      </c>
      <c r="G67" s="87">
        <f>_xlfn.XLOOKUP(CoreValuesResults[[#This Row],[Team Number]],InnovationProjectResults[Team Number],InnovationProjectResults[Communicate - Fun (CV)])</f>
        <v>0</v>
      </c>
      <c r="H67" s="87">
        <f>_xlfn.XLOOKUP(CoreValuesResults[[#This Row],[Team Number]],RobotDesignResults[Team Number],RobotDesignResults[Identify - Research (CV)])</f>
        <v>0</v>
      </c>
      <c r="I67" s="87">
        <f>_xlfn.XLOOKUP(CoreValuesResults[[#This Row],[Team Number]],RobotDesignResults[Team Number],RobotDesignResults[Design - Ideas (CV)])</f>
        <v>0</v>
      </c>
      <c r="J67" s="87">
        <f>_xlfn.XLOOKUP(CoreValuesResults[[#This Row],[Team Number]],RobotDesignResults[Team Number],RobotDesignResults[Iterate - Improvements (CV)])</f>
        <v>0</v>
      </c>
      <c r="K67" s="87">
        <f>_xlfn.XLOOKUP(CoreValuesResults[[#This Row],[Team Number]],RobotDesignResults[Team Number],RobotDesignResults[Communicate - Impact (CV)])</f>
        <v>0</v>
      </c>
      <c r="L67" s="87">
        <f>_xlfn.XLOOKUP(CoreValuesResults[[#This Row],[Team Number]],RobotDesignResults[Team Number],RobotDesignResults[Communicate - Fun (CV)])</f>
        <v>0</v>
      </c>
      <c r="M67" s="17"/>
      <c r="N67" s="17"/>
      <c r="O67" s="17"/>
      <c r="P67" s="17"/>
      <c r="Q67" s="17"/>
      <c r="R67" s="12" t="str">
        <f>IF(CoreValuesResults[[#This Row],[Gracious Professionalism 1]]="","",COUNTIF(CoreValuesResults[[#This Row],[Gracious Professionalism 1]:[Gracious Professionalism 5]],""))</f>
        <v/>
      </c>
      <c r="S67" s="12" t="str">
        <f>IF(CoreValuesResults[[#This Row],[Gracious Professionalism 1]]="","",SUM(CoreValuesResults[[#This Row],[Gracious Professionalism 1]:[Gracious Professionalism 5]]))</f>
        <v/>
      </c>
      <c r="T67"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67" s="81">
        <f>SUM(CoreValuesResults[[#This Row],[Discovery (IP)]:[Fun (RD)]],CoreValuesResults[[#This Row],[Gracious Professionalism Score]])</f>
        <v>0</v>
      </c>
      <c r="V67" s="43">
        <f>IF(CoreValuesResults[[#This Row],[Team Number]]&gt;0,MIN(_xlfn.RANK.EQ(CoreValuesResults[[#This Row],[Core Values Score]],CoreValuesResults[Core Values Score],0),NumberOfTeams),NumberOfTeams+1)</f>
        <v>1</v>
      </c>
      <c r="W67" s="82"/>
      <c r="X67" s="82"/>
      <c r="Y67" s="82"/>
    </row>
    <row r="68" spans="1:25" ht="30" customHeight="1" x14ac:dyDescent="0.45">
      <c r="A68" s="12">
        <f>_xlfn.XLOOKUP(67,OfficialTeamList[Row],OfficialTeamList[Team Number],"ERROR",0)</f>
        <v>0</v>
      </c>
      <c r="B68" s="42" t="str">
        <f>_xlfn.XLOOKUP(CoreValuesResults[[#This Row],[Team Number]],OfficialTeamList[Team Number],OfficialTeamList[Team Name],"",0,)</f>
        <v/>
      </c>
      <c r="C68" s="87">
        <f>_xlfn.XLOOKUP(CoreValuesResults[[#This Row],[Team Number]],InnovationProjectResults[Team Number],InnovationProjectResults[Identify - Research (CV)])</f>
        <v>0</v>
      </c>
      <c r="D68" s="87">
        <f>_xlfn.XLOOKUP(CoreValuesResults[[#This Row],[Team Number]],InnovationProjectResults[Team Number],InnovationProjectResults[Design - Teamwork (CV)])</f>
        <v>0</v>
      </c>
      <c r="E68" s="87">
        <f>_xlfn.XLOOKUP(CoreValuesResults[[#This Row],[Team Number]],InnovationProjectResults[Team Number],InnovationProjectResults[Create - Innovation (CV)])</f>
        <v>0</v>
      </c>
      <c r="F68" s="87">
        <f>_xlfn.XLOOKUP(CoreValuesResults[[#This Row],[Team Number]],InnovationProjectResults[Team Number],InnovationProjectResults[Communicate - Impact (CV)])</f>
        <v>0</v>
      </c>
      <c r="G68" s="87">
        <f>_xlfn.XLOOKUP(CoreValuesResults[[#This Row],[Team Number]],InnovationProjectResults[Team Number],InnovationProjectResults[Communicate - Fun (CV)])</f>
        <v>0</v>
      </c>
      <c r="H68" s="87">
        <f>_xlfn.XLOOKUP(CoreValuesResults[[#This Row],[Team Number]],RobotDesignResults[Team Number],RobotDesignResults[Identify - Research (CV)])</f>
        <v>0</v>
      </c>
      <c r="I68" s="87">
        <f>_xlfn.XLOOKUP(CoreValuesResults[[#This Row],[Team Number]],RobotDesignResults[Team Number],RobotDesignResults[Design - Ideas (CV)])</f>
        <v>0</v>
      </c>
      <c r="J68" s="87">
        <f>_xlfn.XLOOKUP(CoreValuesResults[[#This Row],[Team Number]],RobotDesignResults[Team Number],RobotDesignResults[Iterate - Improvements (CV)])</f>
        <v>0</v>
      </c>
      <c r="K68" s="87">
        <f>_xlfn.XLOOKUP(CoreValuesResults[[#This Row],[Team Number]],RobotDesignResults[Team Number],RobotDesignResults[Communicate - Impact (CV)])</f>
        <v>0</v>
      </c>
      <c r="L68" s="87">
        <f>_xlfn.XLOOKUP(CoreValuesResults[[#This Row],[Team Number]],RobotDesignResults[Team Number],RobotDesignResults[Communicate - Fun (CV)])</f>
        <v>0</v>
      </c>
      <c r="M68" s="17"/>
      <c r="N68" s="17"/>
      <c r="O68" s="17"/>
      <c r="P68" s="17"/>
      <c r="Q68" s="17"/>
      <c r="R68" s="12" t="str">
        <f>IF(CoreValuesResults[[#This Row],[Gracious Professionalism 1]]="","",COUNTIF(CoreValuesResults[[#This Row],[Gracious Professionalism 1]:[Gracious Professionalism 5]],""))</f>
        <v/>
      </c>
      <c r="S68" s="12" t="str">
        <f>IF(CoreValuesResults[[#This Row],[Gracious Professionalism 1]]="","",SUM(CoreValuesResults[[#This Row],[Gracious Professionalism 1]:[Gracious Professionalism 5]]))</f>
        <v/>
      </c>
      <c r="T68"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68" s="81">
        <f>SUM(CoreValuesResults[[#This Row],[Discovery (IP)]:[Fun (RD)]],CoreValuesResults[[#This Row],[Gracious Professionalism Score]])</f>
        <v>0</v>
      </c>
      <c r="V68" s="43">
        <f>IF(CoreValuesResults[[#This Row],[Team Number]]&gt;0,MIN(_xlfn.RANK.EQ(CoreValuesResults[[#This Row],[Core Values Score]],CoreValuesResults[Core Values Score],0),NumberOfTeams),NumberOfTeams+1)</f>
        <v>1</v>
      </c>
      <c r="W68" s="82"/>
      <c r="X68" s="82"/>
      <c r="Y68" s="82"/>
    </row>
    <row r="69" spans="1:25" ht="30" customHeight="1" x14ac:dyDescent="0.45">
      <c r="A69" s="12">
        <f>_xlfn.XLOOKUP(68,OfficialTeamList[Row],OfficialTeamList[Team Number],"ERROR",0)</f>
        <v>0</v>
      </c>
      <c r="B69" s="42" t="str">
        <f>_xlfn.XLOOKUP(CoreValuesResults[[#This Row],[Team Number]],OfficialTeamList[Team Number],OfficialTeamList[Team Name],"",0,)</f>
        <v/>
      </c>
      <c r="C69" s="87">
        <f>_xlfn.XLOOKUP(CoreValuesResults[[#This Row],[Team Number]],InnovationProjectResults[Team Number],InnovationProjectResults[Identify - Research (CV)])</f>
        <v>0</v>
      </c>
      <c r="D69" s="87">
        <f>_xlfn.XLOOKUP(CoreValuesResults[[#This Row],[Team Number]],InnovationProjectResults[Team Number],InnovationProjectResults[Design - Teamwork (CV)])</f>
        <v>0</v>
      </c>
      <c r="E69" s="87">
        <f>_xlfn.XLOOKUP(CoreValuesResults[[#This Row],[Team Number]],InnovationProjectResults[Team Number],InnovationProjectResults[Create - Innovation (CV)])</f>
        <v>0</v>
      </c>
      <c r="F69" s="87">
        <f>_xlfn.XLOOKUP(CoreValuesResults[[#This Row],[Team Number]],InnovationProjectResults[Team Number],InnovationProjectResults[Communicate - Impact (CV)])</f>
        <v>0</v>
      </c>
      <c r="G69" s="87">
        <f>_xlfn.XLOOKUP(CoreValuesResults[[#This Row],[Team Number]],InnovationProjectResults[Team Number],InnovationProjectResults[Communicate - Fun (CV)])</f>
        <v>0</v>
      </c>
      <c r="H69" s="87">
        <f>_xlfn.XLOOKUP(CoreValuesResults[[#This Row],[Team Number]],RobotDesignResults[Team Number],RobotDesignResults[Identify - Research (CV)])</f>
        <v>0</v>
      </c>
      <c r="I69" s="87">
        <f>_xlfn.XLOOKUP(CoreValuesResults[[#This Row],[Team Number]],RobotDesignResults[Team Number],RobotDesignResults[Design - Ideas (CV)])</f>
        <v>0</v>
      </c>
      <c r="J69" s="87">
        <f>_xlfn.XLOOKUP(CoreValuesResults[[#This Row],[Team Number]],RobotDesignResults[Team Number],RobotDesignResults[Iterate - Improvements (CV)])</f>
        <v>0</v>
      </c>
      <c r="K69" s="87">
        <f>_xlfn.XLOOKUP(CoreValuesResults[[#This Row],[Team Number]],RobotDesignResults[Team Number],RobotDesignResults[Communicate - Impact (CV)])</f>
        <v>0</v>
      </c>
      <c r="L69" s="87">
        <f>_xlfn.XLOOKUP(CoreValuesResults[[#This Row],[Team Number]],RobotDesignResults[Team Number],RobotDesignResults[Communicate - Fun (CV)])</f>
        <v>0</v>
      </c>
      <c r="M69" s="17"/>
      <c r="N69" s="17"/>
      <c r="O69" s="17"/>
      <c r="P69" s="17"/>
      <c r="Q69" s="17"/>
      <c r="R69" s="12" t="str">
        <f>IF(CoreValuesResults[[#This Row],[Gracious Professionalism 1]]="","",COUNTIF(CoreValuesResults[[#This Row],[Gracious Professionalism 1]:[Gracious Professionalism 5]],""))</f>
        <v/>
      </c>
      <c r="S69" s="12" t="str">
        <f>IF(CoreValuesResults[[#This Row],[Gracious Professionalism 1]]="","",SUM(CoreValuesResults[[#This Row],[Gracious Professionalism 1]:[Gracious Professionalism 5]]))</f>
        <v/>
      </c>
      <c r="T69"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69" s="81">
        <f>SUM(CoreValuesResults[[#This Row],[Discovery (IP)]:[Fun (RD)]],CoreValuesResults[[#This Row],[Gracious Professionalism Score]])</f>
        <v>0</v>
      </c>
      <c r="V69" s="43">
        <f>IF(CoreValuesResults[[#This Row],[Team Number]]&gt;0,MIN(_xlfn.RANK.EQ(CoreValuesResults[[#This Row],[Core Values Score]],CoreValuesResults[Core Values Score],0),NumberOfTeams),NumberOfTeams+1)</f>
        <v>1</v>
      </c>
      <c r="W69" s="82"/>
      <c r="X69" s="82"/>
      <c r="Y69" s="82"/>
    </row>
    <row r="70" spans="1:25" ht="30" customHeight="1" x14ac:dyDescent="0.45">
      <c r="A70" s="12">
        <f>_xlfn.XLOOKUP(69,OfficialTeamList[Row],OfficialTeamList[Team Number],"ERROR",0)</f>
        <v>0</v>
      </c>
      <c r="B70" s="42" t="str">
        <f>_xlfn.XLOOKUP(CoreValuesResults[[#This Row],[Team Number]],OfficialTeamList[Team Number],OfficialTeamList[Team Name],"",0,)</f>
        <v/>
      </c>
      <c r="C70" s="87">
        <f>_xlfn.XLOOKUP(CoreValuesResults[[#This Row],[Team Number]],InnovationProjectResults[Team Number],InnovationProjectResults[Identify - Research (CV)])</f>
        <v>0</v>
      </c>
      <c r="D70" s="87">
        <f>_xlfn.XLOOKUP(CoreValuesResults[[#This Row],[Team Number]],InnovationProjectResults[Team Number],InnovationProjectResults[Design - Teamwork (CV)])</f>
        <v>0</v>
      </c>
      <c r="E70" s="87">
        <f>_xlfn.XLOOKUP(CoreValuesResults[[#This Row],[Team Number]],InnovationProjectResults[Team Number],InnovationProjectResults[Create - Innovation (CV)])</f>
        <v>0</v>
      </c>
      <c r="F70" s="87">
        <f>_xlfn.XLOOKUP(CoreValuesResults[[#This Row],[Team Number]],InnovationProjectResults[Team Number],InnovationProjectResults[Communicate - Impact (CV)])</f>
        <v>0</v>
      </c>
      <c r="G70" s="87">
        <f>_xlfn.XLOOKUP(CoreValuesResults[[#This Row],[Team Number]],InnovationProjectResults[Team Number],InnovationProjectResults[Communicate - Fun (CV)])</f>
        <v>0</v>
      </c>
      <c r="H70" s="87">
        <f>_xlfn.XLOOKUP(CoreValuesResults[[#This Row],[Team Number]],RobotDesignResults[Team Number],RobotDesignResults[Identify - Research (CV)])</f>
        <v>0</v>
      </c>
      <c r="I70" s="87">
        <f>_xlfn.XLOOKUP(CoreValuesResults[[#This Row],[Team Number]],RobotDesignResults[Team Number],RobotDesignResults[Design - Ideas (CV)])</f>
        <v>0</v>
      </c>
      <c r="J70" s="87">
        <f>_xlfn.XLOOKUP(CoreValuesResults[[#This Row],[Team Number]],RobotDesignResults[Team Number],RobotDesignResults[Iterate - Improvements (CV)])</f>
        <v>0</v>
      </c>
      <c r="K70" s="87">
        <f>_xlfn.XLOOKUP(CoreValuesResults[[#This Row],[Team Number]],RobotDesignResults[Team Number],RobotDesignResults[Communicate - Impact (CV)])</f>
        <v>0</v>
      </c>
      <c r="L70" s="87">
        <f>_xlfn.XLOOKUP(CoreValuesResults[[#This Row],[Team Number]],RobotDesignResults[Team Number],RobotDesignResults[Communicate - Fun (CV)])</f>
        <v>0</v>
      </c>
      <c r="M70" s="17"/>
      <c r="N70" s="17"/>
      <c r="O70" s="17"/>
      <c r="P70" s="17"/>
      <c r="Q70" s="17"/>
      <c r="R70" s="12" t="str">
        <f>IF(CoreValuesResults[[#This Row],[Gracious Professionalism 1]]="","",COUNTIF(CoreValuesResults[[#This Row],[Gracious Professionalism 1]:[Gracious Professionalism 5]],""))</f>
        <v/>
      </c>
      <c r="S70" s="12" t="str">
        <f>IF(CoreValuesResults[[#This Row],[Gracious Professionalism 1]]="","",SUM(CoreValuesResults[[#This Row],[Gracious Professionalism 1]:[Gracious Professionalism 5]]))</f>
        <v/>
      </c>
      <c r="T70"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70" s="81">
        <f>SUM(CoreValuesResults[[#This Row],[Discovery (IP)]:[Fun (RD)]],CoreValuesResults[[#This Row],[Gracious Professionalism Score]])</f>
        <v>0</v>
      </c>
      <c r="V70" s="43">
        <f>IF(CoreValuesResults[[#This Row],[Team Number]]&gt;0,MIN(_xlfn.RANK.EQ(CoreValuesResults[[#This Row],[Core Values Score]],CoreValuesResults[Core Values Score],0),NumberOfTeams),NumberOfTeams+1)</f>
        <v>1</v>
      </c>
      <c r="W70" s="82"/>
      <c r="X70" s="82"/>
      <c r="Y70" s="82"/>
    </row>
    <row r="71" spans="1:25" ht="30" customHeight="1" x14ac:dyDescent="0.45">
      <c r="A71" s="12">
        <f>_xlfn.XLOOKUP(70,OfficialTeamList[Row],OfficialTeamList[Team Number],"ERROR",0)</f>
        <v>0</v>
      </c>
      <c r="B71" s="42" t="str">
        <f>_xlfn.XLOOKUP(CoreValuesResults[[#This Row],[Team Number]],OfficialTeamList[Team Number],OfficialTeamList[Team Name],"",0,)</f>
        <v/>
      </c>
      <c r="C71" s="87">
        <f>_xlfn.XLOOKUP(CoreValuesResults[[#This Row],[Team Number]],InnovationProjectResults[Team Number],InnovationProjectResults[Identify - Research (CV)])</f>
        <v>0</v>
      </c>
      <c r="D71" s="87">
        <f>_xlfn.XLOOKUP(CoreValuesResults[[#This Row],[Team Number]],InnovationProjectResults[Team Number],InnovationProjectResults[Design - Teamwork (CV)])</f>
        <v>0</v>
      </c>
      <c r="E71" s="87">
        <f>_xlfn.XLOOKUP(CoreValuesResults[[#This Row],[Team Number]],InnovationProjectResults[Team Number],InnovationProjectResults[Create - Innovation (CV)])</f>
        <v>0</v>
      </c>
      <c r="F71" s="87">
        <f>_xlfn.XLOOKUP(CoreValuesResults[[#This Row],[Team Number]],InnovationProjectResults[Team Number],InnovationProjectResults[Communicate - Impact (CV)])</f>
        <v>0</v>
      </c>
      <c r="G71" s="87">
        <f>_xlfn.XLOOKUP(CoreValuesResults[[#This Row],[Team Number]],InnovationProjectResults[Team Number],InnovationProjectResults[Communicate - Fun (CV)])</f>
        <v>0</v>
      </c>
      <c r="H71" s="87">
        <f>_xlfn.XLOOKUP(CoreValuesResults[[#This Row],[Team Number]],RobotDesignResults[Team Number],RobotDesignResults[Identify - Research (CV)])</f>
        <v>0</v>
      </c>
      <c r="I71" s="87">
        <f>_xlfn.XLOOKUP(CoreValuesResults[[#This Row],[Team Number]],RobotDesignResults[Team Number],RobotDesignResults[Design - Ideas (CV)])</f>
        <v>0</v>
      </c>
      <c r="J71" s="87">
        <f>_xlfn.XLOOKUP(CoreValuesResults[[#This Row],[Team Number]],RobotDesignResults[Team Number],RobotDesignResults[Iterate - Improvements (CV)])</f>
        <v>0</v>
      </c>
      <c r="K71" s="87">
        <f>_xlfn.XLOOKUP(CoreValuesResults[[#This Row],[Team Number]],RobotDesignResults[Team Number],RobotDesignResults[Communicate - Impact (CV)])</f>
        <v>0</v>
      </c>
      <c r="L71" s="87">
        <f>_xlfn.XLOOKUP(CoreValuesResults[[#This Row],[Team Number]],RobotDesignResults[Team Number],RobotDesignResults[Communicate - Fun (CV)])</f>
        <v>0</v>
      </c>
      <c r="M71" s="17"/>
      <c r="N71" s="17"/>
      <c r="O71" s="17"/>
      <c r="P71" s="17"/>
      <c r="Q71" s="17"/>
      <c r="R71" s="12" t="str">
        <f>IF(CoreValuesResults[[#This Row],[Gracious Professionalism 1]]="","",COUNTIF(CoreValuesResults[[#This Row],[Gracious Professionalism 1]:[Gracious Professionalism 5]],""))</f>
        <v/>
      </c>
      <c r="S71" s="12" t="str">
        <f>IF(CoreValuesResults[[#This Row],[Gracious Professionalism 1]]="","",SUM(CoreValuesResults[[#This Row],[Gracious Professionalism 1]:[Gracious Professionalism 5]]))</f>
        <v/>
      </c>
      <c r="T71"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71" s="81">
        <f>SUM(CoreValuesResults[[#This Row],[Discovery (IP)]:[Fun (RD)]],CoreValuesResults[[#This Row],[Gracious Professionalism Score]])</f>
        <v>0</v>
      </c>
      <c r="V71" s="43">
        <f>IF(CoreValuesResults[[#This Row],[Team Number]]&gt;0,MIN(_xlfn.RANK.EQ(CoreValuesResults[[#This Row],[Core Values Score]],CoreValuesResults[Core Values Score],0),NumberOfTeams),NumberOfTeams+1)</f>
        <v>1</v>
      </c>
      <c r="W71" s="82"/>
      <c r="X71" s="82"/>
      <c r="Y71" s="82"/>
    </row>
    <row r="72" spans="1:25" ht="30" customHeight="1" x14ac:dyDescent="0.45">
      <c r="A72" s="12">
        <f>_xlfn.XLOOKUP(71,OfficialTeamList[Row],OfficialTeamList[Team Number],"ERROR",0)</f>
        <v>0</v>
      </c>
      <c r="B72" s="42" t="str">
        <f>_xlfn.XLOOKUP(CoreValuesResults[[#This Row],[Team Number]],OfficialTeamList[Team Number],OfficialTeamList[Team Name],"",0,)</f>
        <v/>
      </c>
      <c r="C72" s="87">
        <f>_xlfn.XLOOKUP(CoreValuesResults[[#This Row],[Team Number]],InnovationProjectResults[Team Number],InnovationProjectResults[Identify - Research (CV)])</f>
        <v>0</v>
      </c>
      <c r="D72" s="87">
        <f>_xlfn.XLOOKUP(CoreValuesResults[[#This Row],[Team Number]],InnovationProjectResults[Team Number],InnovationProjectResults[Design - Teamwork (CV)])</f>
        <v>0</v>
      </c>
      <c r="E72" s="87">
        <f>_xlfn.XLOOKUP(CoreValuesResults[[#This Row],[Team Number]],InnovationProjectResults[Team Number],InnovationProjectResults[Create - Innovation (CV)])</f>
        <v>0</v>
      </c>
      <c r="F72" s="87">
        <f>_xlfn.XLOOKUP(CoreValuesResults[[#This Row],[Team Number]],InnovationProjectResults[Team Number],InnovationProjectResults[Communicate - Impact (CV)])</f>
        <v>0</v>
      </c>
      <c r="G72" s="87">
        <f>_xlfn.XLOOKUP(CoreValuesResults[[#This Row],[Team Number]],InnovationProjectResults[Team Number],InnovationProjectResults[Communicate - Fun (CV)])</f>
        <v>0</v>
      </c>
      <c r="H72" s="87">
        <f>_xlfn.XLOOKUP(CoreValuesResults[[#This Row],[Team Number]],RobotDesignResults[Team Number],RobotDesignResults[Identify - Research (CV)])</f>
        <v>0</v>
      </c>
      <c r="I72" s="87">
        <f>_xlfn.XLOOKUP(CoreValuesResults[[#This Row],[Team Number]],RobotDesignResults[Team Number],RobotDesignResults[Design - Ideas (CV)])</f>
        <v>0</v>
      </c>
      <c r="J72" s="87">
        <f>_xlfn.XLOOKUP(CoreValuesResults[[#This Row],[Team Number]],RobotDesignResults[Team Number],RobotDesignResults[Iterate - Improvements (CV)])</f>
        <v>0</v>
      </c>
      <c r="K72" s="87">
        <f>_xlfn.XLOOKUP(CoreValuesResults[[#This Row],[Team Number]],RobotDesignResults[Team Number],RobotDesignResults[Communicate - Impact (CV)])</f>
        <v>0</v>
      </c>
      <c r="L72" s="87">
        <f>_xlfn.XLOOKUP(CoreValuesResults[[#This Row],[Team Number]],RobotDesignResults[Team Number],RobotDesignResults[Communicate - Fun (CV)])</f>
        <v>0</v>
      </c>
      <c r="M72" s="17"/>
      <c r="N72" s="17"/>
      <c r="O72" s="17"/>
      <c r="P72" s="17"/>
      <c r="Q72" s="17"/>
      <c r="R72" s="12" t="str">
        <f>IF(CoreValuesResults[[#This Row],[Gracious Professionalism 1]]="","",COUNTIF(CoreValuesResults[[#This Row],[Gracious Professionalism 1]:[Gracious Professionalism 5]],""))</f>
        <v/>
      </c>
      <c r="S72" s="12" t="str">
        <f>IF(CoreValuesResults[[#This Row],[Gracious Professionalism 1]]="","",SUM(CoreValuesResults[[#This Row],[Gracious Professionalism 1]:[Gracious Professionalism 5]]))</f>
        <v/>
      </c>
      <c r="T72"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72" s="81">
        <f>SUM(CoreValuesResults[[#This Row],[Discovery (IP)]:[Fun (RD)]],CoreValuesResults[[#This Row],[Gracious Professionalism Score]])</f>
        <v>0</v>
      </c>
      <c r="V72" s="43">
        <f>IF(CoreValuesResults[[#This Row],[Team Number]]&gt;0,MIN(_xlfn.RANK.EQ(CoreValuesResults[[#This Row],[Core Values Score]],CoreValuesResults[Core Values Score],0),NumberOfTeams),NumberOfTeams+1)</f>
        <v>1</v>
      </c>
      <c r="W72" s="82"/>
      <c r="X72" s="82"/>
      <c r="Y72" s="82"/>
    </row>
    <row r="73" spans="1:25" ht="30" customHeight="1" x14ac:dyDescent="0.45">
      <c r="A73" s="12">
        <f>_xlfn.XLOOKUP(72,OfficialTeamList[Row],OfficialTeamList[Team Number],"ERROR",0)</f>
        <v>0</v>
      </c>
      <c r="B73" s="42" t="str">
        <f>_xlfn.XLOOKUP(CoreValuesResults[[#This Row],[Team Number]],OfficialTeamList[Team Number],OfficialTeamList[Team Name],"",0,)</f>
        <v/>
      </c>
      <c r="C73" s="87">
        <f>_xlfn.XLOOKUP(CoreValuesResults[[#This Row],[Team Number]],InnovationProjectResults[Team Number],InnovationProjectResults[Identify - Research (CV)])</f>
        <v>0</v>
      </c>
      <c r="D73" s="87">
        <f>_xlfn.XLOOKUP(CoreValuesResults[[#This Row],[Team Number]],InnovationProjectResults[Team Number],InnovationProjectResults[Design - Teamwork (CV)])</f>
        <v>0</v>
      </c>
      <c r="E73" s="87">
        <f>_xlfn.XLOOKUP(CoreValuesResults[[#This Row],[Team Number]],InnovationProjectResults[Team Number],InnovationProjectResults[Create - Innovation (CV)])</f>
        <v>0</v>
      </c>
      <c r="F73" s="87">
        <f>_xlfn.XLOOKUP(CoreValuesResults[[#This Row],[Team Number]],InnovationProjectResults[Team Number],InnovationProjectResults[Communicate - Impact (CV)])</f>
        <v>0</v>
      </c>
      <c r="G73" s="87">
        <f>_xlfn.XLOOKUP(CoreValuesResults[[#This Row],[Team Number]],InnovationProjectResults[Team Number],InnovationProjectResults[Communicate - Fun (CV)])</f>
        <v>0</v>
      </c>
      <c r="H73" s="87">
        <f>_xlfn.XLOOKUP(CoreValuesResults[[#This Row],[Team Number]],RobotDesignResults[Team Number],RobotDesignResults[Identify - Research (CV)])</f>
        <v>0</v>
      </c>
      <c r="I73" s="87">
        <f>_xlfn.XLOOKUP(CoreValuesResults[[#This Row],[Team Number]],RobotDesignResults[Team Number],RobotDesignResults[Design - Ideas (CV)])</f>
        <v>0</v>
      </c>
      <c r="J73" s="87">
        <f>_xlfn.XLOOKUP(CoreValuesResults[[#This Row],[Team Number]],RobotDesignResults[Team Number],RobotDesignResults[Iterate - Improvements (CV)])</f>
        <v>0</v>
      </c>
      <c r="K73" s="87">
        <f>_xlfn.XLOOKUP(CoreValuesResults[[#This Row],[Team Number]],RobotDesignResults[Team Number],RobotDesignResults[Communicate - Impact (CV)])</f>
        <v>0</v>
      </c>
      <c r="L73" s="87">
        <f>_xlfn.XLOOKUP(CoreValuesResults[[#This Row],[Team Number]],RobotDesignResults[Team Number],RobotDesignResults[Communicate - Fun (CV)])</f>
        <v>0</v>
      </c>
      <c r="M73" s="17"/>
      <c r="N73" s="17"/>
      <c r="O73" s="17"/>
      <c r="P73" s="17"/>
      <c r="Q73" s="17"/>
      <c r="R73" s="12"/>
      <c r="S73" s="12"/>
      <c r="T73" s="12"/>
      <c r="U73" s="81">
        <f>SUM(CoreValuesResults[[#This Row],[Discovery (IP)]:[Fun (RD)]],CoreValuesResults[[#This Row],[Gracious Professionalism Score]])</f>
        <v>0</v>
      </c>
      <c r="V73" s="43">
        <f>IF(CoreValuesResults[[#This Row],[Team Number]]&gt;0,MIN(_xlfn.RANK.EQ(CoreValuesResults[[#This Row],[Core Values Score]],CoreValuesResults[Core Values Score],0),NumberOfTeams),NumberOfTeams+1)</f>
        <v>1</v>
      </c>
      <c r="W73" s="82"/>
      <c r="X73" s="82"/>
      <c r="Y73" s="82"/>
    </row>
    <row r="74" spans="1:25" ht="30" customHeight="1" x14ac:dyDescent="0.45">
      <c r="A74" s="12">
        <f>_xlfn.XLOOKUP(73,OfficialTeamList[Row],OfficialTeamList[Team Number],"ERROR",0)</f>
        <v>0</v>
      </c>
      <c r="B74" s="42" t="str">
        <f>_xlfn.XLOOKUP(CoreValuesResults[[#This Row],[Team Number]],OfficialTeamList[Team Number],OfficialTeamList[Team Name],"",0,)</f>
        <v/>
      </c>
      <c r="C74" s="87">
        <f>_xlfn.XLOOKUP(CoreValuesResults[[#This Row],[Team Number]],InnovationProjectResults[Team Number],InnovationProjectResults[Identify - Research (CV)])</f>
        <v>0</v>
      </c>
      <c r="D74" s="87">
        <f>_xlfn.XLOOKUP(CoreValuesResults[[#This Row],[Team Number]],InnovationProjectResults[Team Number],InnovationProjectResults[Design - Teamwork (CV)])</f>
        <v>0</v>
      </c>
      <c r="E74" s="87">
        <f>_xlfn.XLOOKUP(CoreValuesResults[[#This Row],[Team Number]],InnovationProjectResults[Team Number],InnovationProjectResults[Create - Innovation (CV)])</f>
        <v>0</v>
      </c>
      <c r="F74" s="87">
        <f>_xlfn.XLOOKUP(CoreValuesResults[[#This Row],[Team Number]],InnovationProjectResults[Team Number],InnovationProjectResults[Communicate - Impact (CV)])</f>
        <v>0</v>
      </c>
      <c r="G74" s="87">
        <f>_xlfn.XLOOKUP(CoreValuesResults[[#This Row],[Team Number]],InnovationProjectResults[Team Number],InnovationProjectResults[Communicate - Fun (CV)])</f>
        <v>0</v>
      </c>
      <c r="H74" s="87">
        <f>_xlfn.XLOOKUP(CoreValuesResults[[#This Row],[Team Number]],RobotDesignResults[Team Number],RobotDesignResults[Identify - Research (CV)])</f>
        <v>0</v>
      </c>
      <c r="I74" s="87">
        <f>_xlfn.XLOOKUP(CoreValuesResults[[#This Row],[Team Number]],RobotDesignResults[Team Number],RobotDesignResults[Design - Ideas (CV)])</f>
        <v>0</v>
      </c>
      <c r="J74" s="87">
        <f>_xlfn.XLOOKUP(CoreValuesResults[[#This Row],[Team Number]],RobotDesignResults[Team Number],RobotDesignResults[Iterate - Improvements (CV)])</f>
        <v>0</v>
      </c>
      <c r="K74" s="87">
        <f>_xlfn.XLOOKUP(CoreValuesResults[[#This Row],[Team Number]],RobotDesignResults[Team Number],RobotDesignResults[Communicate - Impact (CV)])</f>
        <v>0</v>
      </c>
      <c r="L74" s="87">
        <f>_xlfn.XLOOKUP(CoreValuesResults[[#This Row],[Team Number]],RobotDesignResults[Team Number],RobotDesignResults[Communicate - Fun (CV)])</f>
        <v>0</v>
      </c>
      <c r="M74" s="17"/>
      <c r="N74" s="17"/>
      <c r="O74" s="17"/>
      <c r="P74" s="17"/>
      <c r="Q74" s="17"/>
      <c r="R74" s="12"/>
      <c r="S74" s="12"/>
      <c r="T74" s="12"/>
      <c r="U74" s="81">
        <f>SUM(CoreValuesResults[[#This Row],[Discovery (IP)]:[Fun (RD)]],CoreValuesResults[[#This Row],[Gracious Professionalism Score]])</f>
        <v>0</v>
      </c>
      <c r="V74" s="43">
        <f>IF(CoreValuesResults[[#This Row],[Team Number]]&gt;0,MIN(_xlfn.RANK.EQ(CoreValuesResults[[#This Row],[Core Values Score]],CoreValuesResults[Core Values Score],0),NumberOfTeams),NumberOfTeams+1)</f>
        <v>1</v>
      </c>
      <c r="W74" s="82"/>
      <c r="X74" s="82"/>
      <c r="Y74" s="82"/>
    </row>
    <row r="75" spans="1:25" ht="30" customHeight="1" x14ac:dyDescent="0.45">
      <c r="A75" s="12">
        <f>_xlfn.XLOOKUP(74,OfficialTeamList[Row],OfficialTeamList[Team Number],"ERROR",0)</f>
        <v>0</v>
      </c>
      <c r="B75" s="42" t="str">
        <f>_xlfn.XLOOKUP(CoreValuesResults[[#This Row],[Team Number]],OfficialTeamList[Team Number],OfficialTeamList[Team Name],"",0,)</f>
        <v/>
      </c>
      <c r="C75" s="87">
        <f>_xlfn.XLOOKUP(CoreValuesResults[[#This Row],[Team Number]],InnovationProjectResults[Team Number],InnovationProjectResults[Identify - Research (CV)])</f>
        <v>0</v>
      </c>
      <c r="D75" s="87">
        <f>_xlfn.XLOOKUP(CoreValuesResults[[#This Row],[Team Number]],InnovationProjectResults[Team Number],InnovationProjectResults[Design - Teamwork (CV)])</f>
        <v>0</v>
      </c>
      <c r="E75" s="87">
        <f>_xlfn.XLOOKUP(CoreValuesResults[[#This Row],[Team Number]],InnovationProjectResults[Team Number],InnovationProjectResults[Create - Innovation (CV)])</f>
        <v>0</v>
      </c>
      <c r="F75" s="87">
        <f>_xlfn.XLOOKUP(CoreValuesResults[[#This Row],[Team Number]],InnovationProjectResults[Team Number],InnovationProjectResults[Communicate - Impact (CV)])</f>
        <v>0</v>
      </c>
      <c r="G75" s="87">
        <f>_xlfn.XLOOKUP(CoreValuesResults[[#This Row],[Team Number]],InnovationProjectResults[Team Number],InnovationProjectResults[Communicate - Fun (CV)])</f>
        <v>0</v>
      </c>
      <c r="H75" s="87">
        <f>_xlfn.XLOOKUP(CoreValuesResults[[#This Row],[Team Number]],RobotDesignResults[Team Number],RobotDesignResults[Identify - Research (CV)])</f>
        <v>0</v>
      </c>
      <c r="I75" s="87">
        <f>_xlfn.XLOOKUP(CoreValuesResults[[#This Row],[Team Number]],RobotDesignResults[Team Number],RobotDesignResults[Design - Ideas (CV)])</f>
        <v>0</v>
      </c>
      <c r="J75" s="87">
        <f>_xlfn.XLOOKUP(CoreValuesResults[[#This Row],[Team Number]],RobotDesignResults[Team Number],RobotDesignResults[Iterate - Improvements (CV)])</f>
        <v>0</v>
      </c>
      <c r="K75" s="87">
        <f>_xlfn.XLOOKUP(CoreValuesResults[[#This Row],[Team Number]],RobotDesignResults[Team Number],RobotDesignResults[Communicate - Impact (CV)])</f>
        <v>0</v>
      </c>
      <c r="L75" s="87">
        <f>_xlfn.XLOOKUP(CoreValuesResults[[#This Row],[Team Number]],RobotDesignResults[Team Number],RobotDesignResults[Communicate - Fun (CV)])</f>
        <v>0</v>
      </c>
      <c r="M75" s="17"/>
      <c r="N75" s="17"/>
      <c r="O75" s="17"/>
      <c r="P75" s="17"/>
      <c r="Q75" s="17"/>
      <c r="R75" s="12"/>
      <c r="S75" s="12"/>
      <c r="T75" s="12"/>
      <c r="U75" s="81">
        <f>SUM(CoreValuesResults[[#This Row],[Discovery (IP)]:[Fun (RD)]],CoreValuesResults[[#This Row],[Gracious Professionalism Score]])</f>
        <v>0</v>
      </c>
      <c r="V75" s="43">
        <f>IF(CoreValuesResults[[#This Row],[Team Number]]&gt;0,MIN(_xlfn.RANK.EQ(CoreValuesResults[[#This Row],[Core Values Score]],CoreValuesResults[Core Values Score],0),NumberOfTeams),NumberOfTeams+1)</f>
        <v>1</v>
      </c>
      <c r="W75" s="82"/>
      <c r="X75" s="82"/>
      <c r="Y75" s="82"/>
    </row>
    <row r="76" spans="1:25" ht="30" customHeight="1" x14ac:dyDescent="0.45">
      <c r="A76" s="12">
        <f>_xlfn.XLOOKUP(75,OfficialTeamList[Row],OfficialTeamList[Team Number],"ERROR",0)</f>
        <v>0</v>
      </c>
      <c r="B76" s="42" t="str">
        <f>_xlfn.XLOOKUP(CoreValuesResults[[#This Row],[Team Number]],OfficialTeamList[Team Number],OfficialTeamList[Team Name],"",0,)</f>
        <v/>
      </c>
      <c r="C76" s="87">
        <f>_xlfn.XLOOKUP(CoreValuesResults[[#This Row],[Team Number]],InnovationProjectResults[Team Number],InnovationProjectResults[Identify - Research (CV)])</f>
        <v>0</v>
      </c>
      <c r="D76" s="87">
        <f>_xlfn.XLOOKUP(CoreValuesResults[[#This Row],[Team Number]],InnovationProjectResults[Team Number],InnovationProjectResults[Design - Teamwork (CV)])</f>
        <v>0</v>
      </c>
      <c r="E76" s="87">
        <f>_xlfn.XLOOKUP(CoreValuesResults[[#This Row],[Team Number]],InnovationProjectResults[Team Number],InnovationProjectResults[Create - Innovation (CV)])</f>
        <v>0</v>
      </c>
      <c r="F76" s="87">
        <f>_xlfn.XLOOKUP(CoreValuesResults[[#This Row],[Team Number]],InnovationProjectResults[Team Number],InnovationProjectResults[Communicate - Impact (CV)])</f>
        <v>0</v>
      </c>
      <c r="G76" s="87">
        <f>_xlfn.XLOOKUP(CoreValuesResults[[#This Row],[Team Number]],InnovationProjectResults[Team Number],InnovationProjectResults[Communicate - Fun (CV)])</f>
        <v>0</v>
      </c>
      <c r="H76" s="87">
        <f>_xlfn.XLOOKUP(CoreValuesResults[[#This Row],[Team Number]],RobotDesignResults[Team Number],RobotDesignResults[Identify - Research (CV)])</f>
        <v>0</v>
      </c>
      <c r="I76" s="87">
        <f>_xlfn.XLOOKUP(CoreValuesResults[[#This Row],[Team Number]],RobotDesignResults[Team Number],RobotDesignResults[Design - Ideas (CV)])</f>
        <v>0</v>
      </c>
      <c r="J76" s="87">
        <f>_xlfn.XLOOKUP(CoreValuesResults[[#This Row],[Team Number]],RobotDesignResults[Team Number],RobotDesignResults[Iterate - Improvements (CV)])</f>
        <v>0</v>
      </c>
      <c r="K76" s="87">
        <f>_xlfn.XLOOKUP(CoreValuesResults[[#This Row],[Team Number]],RobotDesignResults[Team Number],RobotDesignResults[Communicate - Impact (CV)])</f>
        <v>0</v>
      </c>
      <c r="L76" s="87">
        <f>_xlfn.XLOOKUP(CoreValuesResults[[#This Row],[Team Number]],RobotDesignResults[Team Number],RobotDesignResults[Communicate - Fun (CV)])</f>
        <v>0</v>
      </c>
      <c r="M76" s="17"/>
      <c r="N76" s="17"/>
      <c r="O76" s="17"/>
      <c r="P76" s="17"/>
      <c r="Q76" s="17"/>
      <c r="R76" s="12"/>
      <c r="S76" s="12"/>
      <c r="T76" s="12"/>
      <c r="U76" s="81">
        <f>SUM(CoreValuesResults[[#This Row],[Discovery (IP)]:[Fun (RD)]],CoreValuesResults[[#This Row],[Gracious Professionalism Score]])</f>
        <v>0</v>
      </c>
      <c r="V76" s="43">
        <f>IF(CoreValuesResults[[#This Row],[Team Number]]&gt;0,MIN(_xlfn.RANK.EQ(CoreValuesResults[[#This Row],[Core Values Score]],CoreValuesResults[Core Values Score],0),NumberOfTeams),NumberOfTeams+1)</f>
        <v>1</v>
      </c>
      <c r="W76" s="82"/>
      <c r="X76" s="82"/>
      <c r="Y76" s="82"/>
    </row>
    <row r="77" spans="1:25" ht="30" customHeight="1" x14ac:dyDescent="0.45">
      <c r="A77" s="12">
        <f>_xlfn.XLOOKUP(76,OfficialTeamList[Row],OfficialTeamList[Team Number],"ERROR",0)</f>
        <v>0</v>
      </c>
      <c r="B77" s="42" t="str">
        <f>_xlfn.XLOOKUP(CoreValuesResults[[#This Row],[Team Number]],OfficialTeamList[Team Number],OfficialTeamList[Team Name],"",0,)</f>
        <v/>
      </c>
      <c r="C77" s="87">
        <f>_xlfn.XLOOKUP(CoreValuesResults[[#This Row],[Team Number]],InnovationProjectResults[Team Number],InnovationProjectResults[Identify - Research (CV)])</f>
        <v>0</v>
      </c>
      <c r="D77" s="87">
        <f>_xlfn.XLOOKUP(CoreValuesResults[[#This Row],[Team Number]],InnovationProjectResults[Team Number],InnovationProjectResults[Design - Teamwork (CV)])</f>
        <v>0</v>
      </c>
      <c r="E77" s="87">
        <f>_xlfn.XLOOKUP(CoreValuesResults[[#This Row],[Team Number]],InnovationProjectResults[Team Number],InnovationProjectResults[Create - Innovation (CV)])</f>
        <v>0</v>
      </c>
      <c r="F77" s="87">
        <f>_xlfn.XLOOKUP(CoreValuesResults[[#This Row],[Team Number]],InnovationProjectResults[Team Number],InnovationProjectResults[Communicate - Impact (CV)])</f>
        <v>0</v>
      </c>
      <c r="G77" s="87">
        <f>_xlfn.XLOOKUP(CoreValuesResults[[#This Row],[Team Number]],InnovationProjectResults[Team Number],InnovationProjectResults[Communicate - Fun (CV)])</f>
        <v>0</v>
      </c>
      <c r="H77" s="87">
        <f>_xlfn.XLOOKUP(CoreValuesResults[[#This Row],[Team Number]],RobotDesignResults[Team Number],RobotDesignResults[Identify - Research (CV)])</f>
        <v>0</v>
      </c>
      <c r="I77" s="87">
        <f>_xlfn.XLOOKUP(CoreValuesResults[[#This Row],[Team Number]],RobotDesignResults[Team Number],RobotDesignResults[Design - Ideas (CV)])</f>
        <v>0</v>
      </c>
      <c r="J77" s="87">
        <f>_xlfn.XLOOKUP(CoreValuesResults[[#This Row],[Team Number]],RobotDesignResults[Team Number],RobotDesignResults[Iterate - Improvements (CV)])</f>
        <v>0</v>
      </c>
      <c r="K77" s="87">
        <f>_xlfn.XLOOKUP(CoreValuesResults[[#This Row],[Team Number]],RobotDesignResults[Team Number],RobotDesignResults[Communicate - Impact (CV)])</f>
        <v>0</v>
      </c>
      <c r="L77" s="87">
        <f>_xlfn.XLOOKUP(CoreValuesResults[[#This Row],[Team Number]],RobotDesignResults[Team Number],RobotDesignResults[Communicate - Fun (CV)])</f>
        <v>0</v>
      </c>
      <c r="M77" s="17"/>
      <c r="N77" s="17"/>
      <c r="O77" s="17"/>
      <c r="P77" s="17"/>
      <c r="Q77" s="17"/>
      <c r="R77" s="12"/>
      <c r="S77" s="12"/>
      <c r="T77" s="12"/>
      <c r="U77" s="81">
        <f>SUM(CoreValuesResults[[#This Row],[Discovery (IP)]:[Fun (RD)]],CoreValuesResults[[#This Row],[Gracious Professionalism Score]])</f>
        <v>0</v>
      </c>
      <c r="V77" s="43">
        <f>IF(CoreValuesResults[[#This Row],[Team Number]]&gt;0,MIN(_xlfn.RANK.EQ(CoreValuesResults[[#This Row],[Core Values Score]],CoreValuesResults[Core Values Score],0),NumberOfTeams),NumberOfTeams+1)</f>
        <v>1</v>
      </c>
      <c r="W77" s="82"/>
      <c r="X77" s="82"/>
      <c r="Y77" s="82"/>
    </row>
    <row r="78" spans="1:25" ht="30" customHeight="1" x14ac:dyDescent="0.45">
      <c r="A78" s="12">
        <f>_xlfn.XLOOKUP(77,OfficialTeamList[Row],OfficialTeamList[Team Number],"ERROR",0)</f>
        <v>0</v>
      </c>
      <c r="B78" s="42" t="str">
        <f>_xlfn.XLOOKUP(CoreValuesResults[[#This Row],[Team Number]],OfficialTeamList[Team Number],OfficialTeamList[Team Name],"",0,)</f>
        <v/>
      </c>
      <c r="C78" s="87">
        <f>_xlfn.XLOOKUP(CoreValuesResults[[#This Row],[Team Number]],InnovationProjectResults[Team Number],InnovationProjectResults[Identify - Research (CV)])</f>
        <v>0</v>
      </c>
      <c r="D78" s="87">
        <f>_xlfn.XLOOKUP(CoreValuesResults[[#This Row],[Team Number]],InnovationProjectResults[Team Number],InnovationProjectResults[Design - Teamwork (CV)])</f>
        <v>0</v>
      </c>
      <c r="E78" s="87">
        <f>_xlfn.XLOOKUP(CoreValuesResults[[#This Row],[Team Number]],InnovationProjectResults[Team Number],InnovationProjectResults[Create - Innovation (CV)])</f>
        <v>0</v>
      </c>
      <c r="F78" s="87">
        <f>_xlfn.XLOOKUP(CoreValuesResults[[#This Row],[Team Number]],InnovationProjectResults[Team Number],InnovationProjectResults[Communicate - Impact (CV)])</f>
        <v>0</v>
      </c>
      <c r="G78" s="87">
        <f>_xlfn.XLOOKUP(CoreValuesResults[[#This Row],[Team Number]],InnovationProjectResults[Team Number],InnovationProjectResults[Communicate - Fun (CV)])</f>
        <v>0</v>
      </c>
      <c r="H78" s="87">
        <f>_xlfn.XLOOKUP(CoreValuesResults[[#This Row],[Team Number]],RobotDesignResults[Team Number],RobotDesignResults[Identify - Research (CV)])</f>
        <v>0</v>
      </c>
      <c r="I78" s="87">
        <f>_xlfn.XLOOKUP(CoreValuesResults[[#This Row],[Team Number]],RobotDesignResults[Team Number],RobotDesignResults[Design - Ideas (CV)])</f>
        <v>0</v>
      </c>
      <c r="J78" s="87">
        <f>_xlfn.XLOOKUP(CoreValuesResults[[#This Row],[Team Number]],RobotDesignResults[Team Number],RobotDesignResults[Iterate - Improvements (CV)])</f>
        <v>0</v>
      </c>
      <c r="K78" s="87">
        <f>_xlfn.XLOOKUP(CoreValuesResults[[#This Row],[Team Number]],RobotDesignResults[Team Number],RobotDesignResults[Communicate - Impact (CV)])</f>
        <v>0</v>
      </c>
      <c r="L78" s="87">
        <f>_xlfn.XLOOKUP(CoreValuesResults[[#This Row],[Team Number]],RobotDesignResults[Team Number],RobotDesignResults[Communicate - Fun (CV)])</f>
        <v>0</v>
      </c>
      <c r="M78" s="17"/>
      <c r="N78" s="17"/>
      <c r="O78" s="17"/>
      <c r="P78" s="17"/>
      <c r="Q78" s="17"/>
      <c r="R78" s="12"/>
      <c r="S78" s="12"/>
      <c r="T78" s="12"/>
      <c r="U78" s="81">
        <f>SUM(CoreValuesResults[[#This Row],[Discovery (IP)]:[Fun (RD)]],CoreValuesResults[[#This Row],[Gracious Professionalism Score]])</f>
        <v>0</v>
      </c>
      <c r="V78" s="43">
        <f>IF(CoreValuesResults[[#This Row],[Team Number]]&gt;0,MIN(_xlfn.RANK.EQ(CoreValuesResults[[#This Row],[Core Values Score]],CoreValuesResults[Core Values Score],0),NumberOfTeams),NumberOfTeams+1)</f>
        <v>1</v>
      </c>
      <c r="W78" s="82"/>
      <c r="X78" s="82"/>
      <c r="Y78" s="82"/>
    </row>
    <row r="79" spans="1:25" ht="30" customHeight="1" x14ac:dyDescent="0.45">
      <c r="A79" s="12">
        <f>_xlfn.XLOOKUP(78,OfficialTeamList[Row],OfficialTeamList[Team Number],"ERROR",0)</f>
        <v>0</v>
      </c>
      <c r="B79" s="42" t="str">
        <f>_xlfn.XLOOKUP(CoreValuesResults[[#This Row],[Team Number]],OfficialTeamList[Team Number],OfficialTeamList[Team Name],"",0,)</f>
        <v/>
      </c>
      <c r="C79" s="87">
        <f>_xlfn.XLOOKUP(CoreValuesResults[[#This Row],[Team Number]],InnovationProjectResults[Team Number],InnovationProjectResults[Identify - Research (CV)])</f>
        <v>0</v>
      </c>
      <c r="D79" s="87">
        <f>_xlfn.XLOOKUP(CoreValuesResults[[#This Row],[Team Number]],InnovationProjectResults[Team Number],InnovationProjectResults[Design - Teamwork (CV)])</f>
        <v>0</v>
      </c>
      <c r="E79" s="87">
        <f>_xlfn.XLOOKUP(CoreValuesResults[[#This Row],[Team Number]],InnovationProjectResults[Team Number],InnovationProjectResults[Create - Innovation (CV)])</f>
        <v>0</v>
      </c>
      <c r="F79" s="87">
        <f>_xlfn.XLOOKUP(CoreValuesResults[[#This Row],[Team Number]],InnovationProjectResults[Team Number],InnovationProjectResults[Communicate - Impact (CV)])</f>
        <v>0</v>
      </c>
      <c r="G79" s="87">
        <f>_xlfn.XLOOKUP(CoreValuesResults[[#This Row],[Team Number]],InnovationProjectResults[Team Number],InnovationProjectResults[Communicate - Fun (CV)])</f>
        <v>0</v>
      </c>
      <c r="H79" s="87">
        <f>_xlfn.XLOOKUP(CoreValuesResults[[#This Row],[Team Number]],RobotDesignResults[Team Number],RobotDesignResults[Identify - Research (CV)])</f>
        <v>0</v>
      </c>
      <c r="I79" s="87">
        <f>_xlfn.XLOOKUP(CoreValuesResults[[#This Row],[Team Number]],RobotDesignResults[Team Number],RobotDesignResults[Design - Ideas (CV)])</f>
        <v>0</v>
      </c>
      <c r="J79" s="87">
        <f>_xlfn.XLOOKUP(CoreValuesResults[[#This Row],[Team Number]],RobotDesignResults[Team Number],RobotDesignResults[Iterate - Improvements (CV)])</f>
        <v>0</v>
      </c>
      <c r="K79" s="87">
        <f>_xlfn.XLOOKUP(CoreValuesResults[[#This Row],[Team Number]],RobotDesignResults[Team Number],RobotDesignResults[Communicate - Impact (CV)])</f>
        <v>0</v>
      </c>
      <c r="L79" s="87">
        <f>_xlfn.XLOOKUP(CoreValuesResults[[#This Row],[Team Number]],RobotDesignResults[Team Number],RobotDesignResults[Communicate - Fun (CV)])</f>
        <v>0</v>
      </c>
      <c r="M79" s="17"/>
      <c r="N79" s="17"/>
      <c r="O79" s="17"/>
      <c r="P79" s="17"/>
      <c r="Q79" s="17"/>
      <c r="R79" s="12"/>
      <c r="S79" s="12"/>
      <c r="T79" s="12"/>
      <c r="U79" s="81">
        <f>SUM(CoreValuesResults[[#This Row],[Discovery (IP)]:[Fun (RD)]],CoreValuesResults[[#This Row],[Gracious Professionalism Score]])</f>
        <v>0</v>
      </c>
      <c r="V79" s="43">
        <f>IF(CoreValuesResults[[#This Row],[Team Number]]&gt;0,MIN(_xlfn.RANK.EQ(CoreValuesResults[[#This Row],[Core Values Score]],CoreValuesResults[Core Values Score],0),NumberOfTeams),NumberOfTeams+1)</f>
        <v>1</v>
      </c>
      <c r="W79" s="82"/>
      <c r="X79" s="82"/>
      <c r="Y79" s="82"/>
    </row>
    <row r="80" spans="1:25" ht="30" customHeight="1" x14ac:dyDescent="0.45">
      <c r="A80" s="12">
        <f>_xlfn.XLOOKUP(79,OfficialTeamList[Row],OfficialTeamList[Team Number],"ERROR",0)</f>
        <v>0</v>
      </c>
      <c r="B80" s="42" t="str">
        <f>_xlfn.XLOOKUP(CoreValuesResults[[#This Row],[Team Number]],OfficialTeamList[Team Number],OfficialTeamList[Team Name],"",0,)</f>
        <v/>
      </c>
      <c r="C80" s="87">
        <f>_xlfn.XLOOKUP(CoreValuesResults[[#This Row],[Team Number]],InnovationProjectResults[Team Number],InnovationProjectResults[Identify - Research (CV)])</f>
        <v>0</v>
      </c>
      <c r="D80" s="87">
        <f>_xlfn.XLOOKUP(CoreValuesResults[[#This Row],[Team Number]],InnovationProjectResults[Team Number],InnovationProjectResults[Design - Teamwork (CV)])</f>
        <v>0</v>
      </c>
      <c r="E80" s="87">
        <f>_xlfn.XLOOKUP(CoreValuesResults[[#This Row],[Team Number]],InnovationProjectResults[Team Number],InnovationProjectResults[Create - Innovation (CV)])</f>
        <v>0</v>
      </c>
      <c r="F80" s="87">
        <f>_xlfn.XLOOKUP(CoreValuesResults[[#This Row],[Team Number]],InnovationProjectResults[Team Number],InnovationProjectResults[Communicate - Impact (CV)])</f>
        <v>0</v>
      </c>
      <c r="G80" s="87">
        <f>_xlfn.XLOOKUP(CoreValuesResults[[#This Row],[Team Number]],InnovationProjectResults[Team Number],InnovationProjectResults[Communicate - Fun (CV)])</f>
        <v>0</v>
      </c>
      <c r="H80" s="87">
        <f>_xlfn.XLOOKUP(CoreValuesResults[[#This Row],[Team Number]],RobotDesignResults[Team Number],RobotDesignResults[Identify - Research (CV)])</f>
        <v>0</v>
      </c>
      <c r="I80" s="87">
        <f>_xlfn.XLOOKUP(CoreValuesResults[[#This Row],[Team Number]],RobotDesignResults[Team Number],RobotDesignResults[Design - Ideas (CV)])</f>
        <v>0</v>
      </c>
      <c r="J80" s="87">
        <f>_xlfn.XLOOKUP(CoreValuesResults[[#This Row],[Team Number]],RobotDesignResults[Team Number],RobotDesignResults[Iterate - Improvements (CV)])</f>
        <v>0</v>
      </c>
      <c r="K80" s="87">
        <f>_xlfn.XLOOKUP(CoreValuesResults[[#This Row],[Team Number]],RobotDesignResults[Team Number],RobotDesignResults[Communicate - Impact (CV)])</f>
        <v>0</v>
      </c>
      <c r="L80" s="87">
        <f>_xlfn.XLOOKUP(CoreValuesResults[[#This Row],[Team Number]],RobotDesignResults[Team Number],RobotDesignResults[Communicate - Fun (CV)])</f>
        <v>0</v>
      </c>
      <c r="M80" s="17"/>
      <c r="N80" s="17"/>
      <c r="O80" s="17"/>
      <c r="P80" s="17"/>
      <c r="Q80" s="17"/>
      <c r="R80" s="12"/>
      <c r="S80" s="12"/>
      <c r="T80" s="12"/>
      <c r="U80" s="81">
        <f>SUM(CoreValuesResults[[#This Row],[Discovery (IP)]:[Fun (RD)]],CoreValuesResults[[#This Row],[Gracious Professionalism Score]])</f>
        <v>0</v>
      </c>
      <c r="V80" s="43">
        <f>IF(CoreValuesResults[[#This Row],[Team Number]]&gt;0,MIN(_xlfn.RANK.EQ(CoreValuesResults[[#This Row],[Core Values Score]],CoreValuesResults[Core Values Score],0),NumberOfTeams),NumberOfTeams+1)</f>
        <v>1</v>
      </c>
      <c r="W80" s="82"/>
      <c r="X80" s="82"/>
      <c r="Y80" s="82"/>
    </row>
    <row r="81" spans="1:25" ht="30" customHeight="1" x14ac:dyDescent="0.45">
      <c r="A81" s="12">
        <f>_xlfn.XLOOKUP(80,OfficialTeamList[Row],OfficialTeamList[Team Number],"ERROR",0)</f>
        <v>0</v>
      </c>
      <c r="B81" s="42" t="str">
        <f>_xlfn.XLOOKUP(CoreValuesResults[[#This Row],[Team Number]],OfficialTeamList[Team Number],OfficialTeamList[Team Name],"",0,)</f>
        <v/>
      </c>
      <c r="C81" s="87">
        <f>_xlfn.XLOOKUP(CoreValuesResults[[#This Row],[Team Number]],InnovationProjectResults[Team Number],InnovationProjectResults[Identify - Research (CV)])</f>
        <v>0</v>
      </c>
      <c r="D81" s="87">
        <f>_xlfn.XLOOKUP(CoreValuesResults[[#This Row],[Team Number]],InnovationProjectResults[Team Number],InnovationProjectResults[Design - Teamwork (CV)])</f>
        <v>0</v>
      </c>
      <c r="E81" s="87">
        <f>_xlfn.XLOOKUP(CoreValuesResults[[#This Row],[Team Number]],InnovationProjectResults[Team Number],InnovationProjectResults[Create - Innovation (CV)])</f>
        <v>0</v>
      </c>
      <c r="F81" s="87">
        <f>_xlfn.XLOOKUP(CoreValuesResults[[#This Row],[Team Number]],InnovationProjectResults[Team Number],InnovationProjectResults[Communicate - Impact (CV)])</f>
        <v>0</v>
      </c>
      <c r="G81" s="87">
        <f>_xlfn.XLOOKUP(CoreValuesResults[[#This Row],[Team Number]],InnovationProjectResults[Team Number],InnovationProjectResults[Communicate - Fun (CV)])</f>
        <v>0</v>
      </c>
      <c r="H81" s="87">
        <f>_xlfn.XLOOKUP(CoreValuesResults[[#This Row],[Team Number]],RobotDesignResults[Team Number],RobotDesignResults[Identify - Research (CV)])</f>
        <v>0</v>
      </c>
      <c r="I81" s="87">
        <f>_xlfn.XLOOKUP(CoreValuesResults[[#This Row],[Team Number]],RobotDesignResults[Team Number],RobotDesignResults[Design - Ideas (CV)])</f>
        <v>0</v>
      </c>
      <c r="J81" s="87">
        <f>_xlfn.XLOOKUP(CoreValuesResults[[#This Row],[Team Number]],RobotDesignResults[Team Number],RobotDesignResults[Iterate - Improvements (CV)])</f>
        <v>0</v>
      </c>
      <c r="K81" s="87">
        <f>_xlfn.XLOOKUP(CoreValuesResults[[#This Row],[Team Number]],RobotDesignResults[Team Number],RobotDesignResults[Communicate - Impact (CV)])</f>
        <v>0</v>
      </c>
      <c r="L81" s="87">
        <f>_xlfn.XLOOKUP(CoreValuesResults[[#This Row],[Team Number]],RobotDesignResults[Team Number],RobotDesignResults[Communicate - Fun (CV)])</f>
        <v>0</v>
      </c>
      <c r="M81" s="17"/>
      <c r="N81" s="17"/>
      <c r="O81" s="17"/>
      <c r="P81" s="17"/>
      <c r="Q81" s="17"/>
      <c r="R81" s="12"/>
      <c r="S81" s="12"/>
      <c r="T81" s="12"/>
      <c r="U81" s="81">
        <f>SUM(CoreValuesResults[[#This Row],[Discovery (IP)]:[Fun (RD)]],CoreValuesResults[[#This Row],[Gracious Professionalism Score]])</f>
        <v>0</v>
      </c>
      <c r="V81" s="43">
        <f>IF(CoreValuesResults[[#This Row],[Team Number]]&gt;0,MIN(_xlfn.RANK.EQ(CoreValuesResults[[#This Row],[Core Values Score]],CoreValuesResults[Core Values Score],0),NumberOfTeams),NumberOfTeams+1)</f>
        <v>1</v>
      </c>
      <c r="W81" s="82"/>
      <c r="X81" s="82"/>
      <c r="Y81" s="82"/>
    </row>
    <row r="82" spans="1:25" ht="30" customHeight="1" x14ac:dyDescent="0.45">
      <c r="A82" s="12">
        <f>_xlfn.XLOOKUP(81,OfficialTeamList[Row],OfficialTeamList[Team Number],"ERROR",0)</f>
        <v>0</v>
      </c>
      <c r="B82" s="42" t="str">
        <f>_xlfn.XLOOKUP(CoreValuesResults[[#This Row],[Team Number]],OfficialTeamList[Team Number],OfficialTeamList[Team Name],"",0,)</f>
        <v/>
      </c>
      <c r="C82" s="87">
        <f>_xlfn.XLOOKUP(CoreValuesResults[[#This Row],[Team Number]],InnovationProjectResults[Team Number],InnovationProjectResults[Identify - Research (CV)])</f>
        <v>0</v>
      </c>
      <c r="D82" s="87">
        <f>_xlfn.XLOOKUP(CoreValuesResults[[#This Row],[Team Number]],InnovationProjectResults[Team Number],InnovationProjectResults[Design - Teamwork (CV)])</f>
        <v>0</v>
      </c>
      <c r="E82" s="87">
        <f>_xlfn.XLOOKUP(CoreValuesResults[[#This Row],[Team Number]],InnovationProjectResults[Team Number],InnovationProjectResults[Create - Innovation (CV)])</f>
        <v>0</v>
      </c>
      <c r="F82" s="87">
        <f>_xlfn.XLOOKUP(CoreValuesResults[[#This Row],[Team Number]],InnovationProjectResults[Team Number],InnovationProjectResults[Communicate - Impact (CV)])</f>
        <v>0</v>
      </c>
      <c r="G82" s="87">
        <f>_xlfn.XLOOKUP(CoreValuesResults[[#This Row],[Team Number]],InnovationProjectResults[Team Number],InnovationProjectResults[Communicate - Fun (CV)])</f>
        <v>0</v>
      </c>
      <c r="H82" s="87">
        <f>_xlfn.XLOOKUP(CoreValuesResults[[#This Row],[Team Number]],RobotDesignResults[Team Number],RobotDesignResults[Identify - Research (CV)])</f>
        <v>0</v>
      </c>
      <c r="I82" s="87">
        <f>_xlfn.XLOOKUP(CoreValuesResults[[#This Row],[Team Number]],RobotDesignResults[Team Number],RobotDesignResults[Design - Ideas (CV)])</f>
        <v>0</v>
      </c>
      <c r="J82" s="87">
        <f>_xlfn.XLOOKUP(CoreValuesResults[[#This Row],[Team Number]],RobotDesignResults[Team Number],RobotDesignResults[Iterate - Improvements (CV)])</f>
        <v>0</v>
      </c>
      <c r="K82" s="87">
        <f>_xlfn.XLOOKUP(CoreValuesResults[[#This Row],[Team Number]],RobotDesignResults[Team Number],RobotDesignResults[Communicate - Impact (CV)])</f>
        <v>0</v>
      </c>
      <c r="L82" s="87">
        <f>_xlfn.XLOOKUP(CoreValuesResults[[#This Row],[Team Number]],RobotDesignResults[Team Number],RobotDesignResults[Communicate - Fun (CV)])</f>
        <v>0</v>
      </c>
      <c r="M82" s="17"/>
      <c r="N82" s="17"/>
      <c r="O82" s="17"/>
      <c r="P82" s="17"/>
      <c r="Q82" s="17"/>
      <c r="R82" s="12"/>
      <c r="S82" s="12"/>
      <c r="T82" s="12"/>
      <c r="U82" s="81">
        <f>SUM(CoreValuesResults[[#This Row],[Discovery (IP)]:[Fun (RD)]],CoreValuesResults[[#This Row],[Gracious Professionalism Score]])</f>
        <v>0</v>
      </c>
      <c r="V82" s="43">
        <f>IF(CoreValuesResults[[#This Row],[Team Number]]&gt;0,MIN(_xlfn.RANK.EQ(CoreValuesResults[[#This Row],[Core Values Score]],CoreValuesResults[Core Values Score],0),NumberOfTeams),NumberOfTeams+1)</f>
        <v>1</v>
      </c>
      <c r="W82" s="82"/>
      <c r="X82" s="82"/>
      <c r="Y82" s="82"/>
    </row>
    <row r="83" spans="1:25" ht="30" customHeight="1" x14ac:dyDescent="0.45">
      <c r="A83" s="12">
        <f>_xlfn.XLOOKUP(82,OfficialTeamList[Row],OfficialTeamList[Team Number],"ERROR",0)</f>
        <v>0</v>
      </c>
      <c r="B83" s="42" t="str">
        <f>_xlfn.XLOOKUP(CoreValuesResults[[#This Row],[Team Number]],OfficialTeamList[Team Number],OfficialTeamList[Team Name],"",0,)</f>
        <v/>
      </c>
      <c r="C83" s="87">
        <f>_xlfn.XLOOKUP(CoreValuesResults[[#This Row],[Team Number]],InnovationProjectResults[Team Number],InnovationProjectResults[Identify - Research (CV)])</f>
        <v>0</v>
      </c>
      <c r="D83" s="87">
        <f>_xlfn.XLOOKUP(CoreValuesResults[[#This Row],[Team Number]],InnovationProjectResults[Team Number],InnovationProjectResults[Design - Teamwork (CV)])</f>
        <v>0</v>
      </c>
      <c r="E83" s="87">
        <f>_xlfn.XLOOKUP(CoreValuesResults[[#This Row],[Team Number]],InnovationProjectResults[Team Number],InnovationProjectResults[Create - Innovation (CV)])</f>
        <v>0</v>
      </c>
      <c r="F83" s="87">
        <f>_xlfn.XLOOKUP(CoreValuesResults[[#This Row],[Team Number]],InnovationProjectResults[Team Number],InnovationProjectResults[Communicate - Impact (CV)])</f>
        <v>0</v>
      </c>
      <c r="G83" s="87">
        <f>_xlfn.XLOOKUP(CoreValuesResults[[#This Row],[Team Number]],InnovationProjectResults[Team Number],InnovationProjectResults[Communicate - Fun (CV)])</f>
        <v>0</v>
      </c>
      <c r="H83" s="87">
        <f>_xlfn.XLOOKUP(CoreValuesResults[[#This Row],[Team Number]],RobotDesignResults[Team Number],RobotDesignResults[Identify - Research (CV)])</f>
        <v>0</v>
      </c>
      <c r="I83" s="87">
        <f>_xlfn.XLOOKUP(CoreValuesResults[[#This Row],[Team Number]],RobotDesignResults[Team Number],RobotDesignResults[Design - Ideas (CV)])</f>
        <v>0</v>
      </c>
      <c r="J83" s="87">
        <f>_xlfn.XLOOKUP(CoreValuesResults[[#This Row],[Team Number]],RobotDesignResults[Team Number],RobotDesignResults[Iterate - Improvements (CV)])</f>
        <v>0</v>
      </c>
      <c r="K83" s="87">
        <f>_xlfn.XLOOKUP(CoreValuesResults[[#This Row],[Team Number]],RobotDesignResults[Team Number],RobotDesignResults[Communicate - Impact (CV)])</f>
        <v>0</v>
      </c>
      <c r="L83" s="87">
        <f>_xlfn.XLOOKUP(CoreValuesResults[[#This Row],[Team Number]],RobotDesignResults[Team Number],RobotDesignResults[Communicate - Fun (CV)])</f>
        <v>0</v>
      </c>
      <c r="M83" s="17"/>
      <c r="N83" s="17"/>
      <c r="O83" s="17"/>
      <c r="P83" s="17"/>
      <c r="Q83" s="17"/>
      <c r="R83" s="12"/>
      <c r="S83" s="12"/>
      <c r="T83" s="12"/>
      <c r="U83" s="81">
        <f>SUM(CoreValuesResults[[#This Row],[Discovery (IP)]:[Fun (RD)]],CoreValuesResults[[#This Row],[Gracious Professionalism Score]])</f>
        <v>0</v>
      </c>
      <c r="V83" s="43">
        <f>IF(CoreValuesResults[[#This Row],[Team Number]]&gt;0,MIN(_xlfn.RANK.EQ(CoreValuesResults[[#This Row],[Core Values Score]],CoreValuesResults[Core Values Score],0),NumberOfTeams),NumberOfTeams+1)</f>
        <v>1</v>
      </c>
      <c r="W83" s="82"/>
      <c r="X83" s="82"/>
      <c r="Y83" s="82"/>
    </row>
    <row r="84" spans="1:25" ht="30" customHeight="1" x14ac:dyDescent="0.45">
      <c r="A84" s="12">
        <f>_xlfn.XLOOKUP(83,OfficialTeamList[Row],OfficialTeamList[Team Number],"ERROR",0)</f>
        <v>0</v>
      </c>
      <c r="B84" s="42" t="str">
        <f>_xlfn.XLOOKUP(CoreValuesResults[[#This Row],[Team Number]],OfficialTeamList[Team Number],OfficialTeamList[Team Name],"",0,)</f>
        <v/>
      </c>
      <c r="C84" s="87">
        <f>_xlfn.XLOOKUP(CoreValuesResults[[#This Row],[Team Number]],InnovationProjectResults[Team Number],InnovationProjectResults[Identify - Research (CV)])</f>
        <v>0</v>
      </c>
      <c r="D84" s="87">
        <f>_xlfn.XLOOKUP(CoreValuesResults[[#This Row],[Team Number]],InnovationProjectResults[Team Number],InnovationProjectResults[Design - Teamwork (CV)])</f>
        <v>0</v>
      </c>
      <c r="E84" s="87">
        <f>_xlfn.XLOOKUP(CoreValuesResults[[#This Row],[Team Number]],InnovationProjectResults[Team Number],InnovationProjectResults[Create - Innovation (CV)])</f>
        <v>0</v>
      </c>
      <c r="F84" s="87">
        <f>_xlfn.XLOOKUP(CoreValuesResults[[#This Row],[Team Number]],InnovationProjectResults[Team Number],InnovationProjectResults[Communicate - Impact (CV)])</f>
        <v>0</v>
      </c>
      <c r="G84" s="87">
        <f>_xlfn.XLOOKUP(CoreValuesResults[[#This Row],[Team Number]],InnovationProjectResults[Team Number],InnovationProjectResults[Communicate - Fun (CV)])</f>
        <v>0</v>
      </c>
      <c r="H84" s="87">
        <f>_xlfn.XLOOKUP(CoreValuesResults[[#This Row],[Team Number]],RobotDesignResults[Team Number],RobotDesignResults[Identify - Research (CV)])</f>
        <v>0</v>
      </c>
      <c r="I84" s="87">
        <f>_xlfn.XLOOKUP(CoreValuesResults[[#This Row],[Team Number]],RobotDesignResults[Team Number],RobotDesignResults[Design - Ideas (CV)])</f>
        <v>0</v>
      </c>
      <c r="J84" s="87">
        <f>_xlfn.XLOOKUP(CoreValuesResults[[#This Row],[Team Number]],RobotDesignResults[Team Number],RobotDesignResults[Iterate - Improvements (CV)])</f>
        <v>0</v>
      </c>
      <c r="K84" s="87">
        <f>_xlfn.XLOOKUP(CoreValuesResults[[#This Row],[Team Number]],RobotDesignResults[Team Number],RobotDesignResults[Communicate - Impact (CV)])</f>
        <v>0</v>
      </c>
      <c r="L84" s="87">
        <f>_xlfn.XLOOKUP(CoreValuesResults[[#This Row],[Team Number]],RobotDesignResults[Team Number],RobotDesignResults[Communicate - Fun (CV)])</f>
        <v>0</v>
      </c>
      <c r="M84" s="17"/>
      <c r="N84" s="17"/>
      <c r="O84" s="17"/>
      <c r="P84" s="17"/>
      <c r="Q84" s="17"/>
      <c r="R84" s="12"/>
      <c r="S84" s="12"/>
      <c r="T84" s="12"/>
      <c r="U84" s="81">
        <f>SUM(CoreValuesResults[[#This Row],[Discovery (IP)]:[Fun (RD)]],CoreValuesResults[[#This Row],[Gracious Professionalism Score]])</f>
        <v>0</v>
      </c>
      <c r="V84" s="43">
        <f>IF(CoreValuesResults[[#This Row],[Team Number]]&gt;0,MIN(_xlfn.RANK.EQ(CoreValuesResults[[#This Row],[Core Values Score]],CoreValuesResults[Core Values Score],0),NumberOfTeams),NumberOfTeams+1)</f>
        <v>1</v>
      </c>
      <c r="W84" s="82"/>
      <c r="X84" s="82"/>
      <c r="Y84" s="82"/>
    </row>
    <row r="85" spans="1:25" ht="30" customHeight="1" x14ac:dyDescent="0.45">
      <c r="A85" s="12">
        <f>_xlfn.XLOOKUP(84,OfficialTeamList[Row],OfficialTeamList[Team Number],"ERROR",0)</f>
        <v>0</v>
      </c>
      <c r="B85" s="42" t="str">
        <f>_xlfn.XLOOKUP(CoreValuesResults[[#This Row],[Team Number]],OfficialTeamList[Team Number],OfficialTeamList[Team Name],"",0,)</f>
        <v/>
      </c>
      <c r="C85" s="87">
        <f>_xlfn.XLOOKUP(CoreValuesResults[[#This Row],[Team Number]],InnovationProjectResults[Team Number],InnovationProjectResults[Identify - Research (CV)])</f>
        <v>0</v>
      </c>
      <c r="D85" s="87">
        <f>_xlfn.XLOOKUP(CoreValuesResults[[#This Row],[Team Number]],InnovationProjectResults[Team Number],InnovationProjectResults[Design - Teamwork (CV)])</f>
        <v>0</v>
      </c>
      <c r="E85" s="87">
        <f>_xlfn.XLOOKUP(CoreValuesResults[[#This Row],[Team Number]],InnovationProjectResults[Team Number],InnovationProjectResults[Create - Innovation (CV)])</f>
        <v>0</v>
      </c>
      <c r="F85" s="87">
        <f>_xlfn.XLOOKUP(CoreValuesResults[[#This Row],[Team Number]],InnovationProjectResults[Team Number],InnovationProjectResults[Communicate - Impact (CV)])</f>
        <v>0</v>
      </c>
      <c r="G85" s="87">
        <f>_xlfn.XLOOKUP(CoreValuesResults[[#This Row],[Team Number]],InnovationProjectResults[Team Number],InnovationProjectResults[Communicate - Fun (CV)])</f>
        <v>0</v>
      </c>
      <c r="H85" s="87">
        <f>_xlfn.XLOOKUP(CoreValuesResults[[#This Row],[Team Number]],RobotDesignResults[Team Number],RobotDesignResults[Identify - Research (CV)])</f>
        <v>0</v>
      </c>
      <c r="I85" s="87">
        <f>_xlfn.XLOOKUP(CoreValuesResults[[#This Row],[Team Number]],RobotDesignResults[Team Number],RobotDesignResults[Design - Ideas (CV)])</f>
        <v>0</v>
      </c>
      <c r="J85" s="87">
        <f>_xlfn.XLOOKUP(CoreValuesResults[[#This Row],[Team Number]],RobotDesignResults[Team Number],RobotDesignResults[Iterate - Improvements (CV)])</f>
        <v>0</v>
      </c>
      <c r="K85" s="87">
        <f>_xlfn.XLOOKUP(CoreValuesResults[[#This Row],[Team Number]],RobotDesignResults[Team Number],RobotDesignResults[Communicate - Impact (CV)])</f>
        <v>0</v>
      </c>
      <c r="L85" s="87">
        <f>_xlfn.XLOOKUP(CoreValuesResults[[#This Row],[Team Number]],RobotDesignResults[Team Number],RobotDesignResults[Communicate - Fun (CV)])</f>
        <v>0</v>
      </c>
      <c r="M85" s="17"/>
      <c r="N85" s="17"/>
      <c r="O85" s="17"/>
      <c r="P85" s="17"/>
      <c r="Q85" s="17"/>
      <c r="R85" s="12"/>
      <c r="S85" s="12"/>
      <c r="T85" s="12"/>
      <c r="U85" s="81">
        <f>SUM(CoreValuesResults[[#This Row],[Discovery (IP)]:[Fun (RD)]],CoreValuesResults[[#This Row],[Gracious Professionalism Score]])</f>
        <v>0</v>
      </c>
      <c r="V85" s="43">
        <f>IF(CoreValuesResults[[#This Row],[Team Number]]&gt;0,MIN(_xlfn.RANK.EQ(CoreValuesResults[[#This Row],[Core Values Score]],CoreValuesResults[Core Values Score],0),NumberOfTeams),NumberOfTeams+1)</f>
        <v>1</v>
      </c>
      <c r="W85" s="82"/>
      <c r="X85" s="82"/>
      <c r="Y85" s="82"/>
    </row>
    <row r="86" spans="1:25" ht="30" customHeight="1" x14ac:dyDescent="0.45">
      <c r="A86" s="12">
        <f>_xlfn.XLOOKUP(85,OfficialTeamList[Row],OfficialTeamList[Team Number],"ERROR",0)</f>
        <v>0</v>
      </c>
      <c r="B86" s="42" t="str">
        <f>_xlfn.XLOOKUP(CoreValuesResults[[#This Row],[Team Number]],OfficialTeamList[Team Number],OfficialTeamList[Team Name],"",0,)</f>
        <v/>
      </c>
      <c r="C86" s="87">
        <f>_xlfn.XLOOKUP(CoreValuesResults[[#This Row],[Team Number]],InnovationProjectResults[Team Number],InnovationProjectResults[Identify - Research (CV)])</f>
        <v>0</v>
      </c>
      <c r="D86" s="87">
        <f>_xlfn.XLOOKUP(CoreValuesResults[[#This Row],[Team Number]],InnovationProjectResults[Team Number],InnovationProjectResults[Design - Teamwork (CV)])</f>
        <v>0</v>
      </c>
      <c r="E86" s="87">
        <f>_xlfn.XLOOKUP(CoreValuesResults[[#This Row],[Team Number]],InnovationProjectResults[Team Number],InnovationProjectResults[Create - Innovation (CV)])</f>
        <v>0</v>
      </c>
      <c r="F86" s="87">
        <f>_xlfn.XLOOKUP(CoreValuesResults[[#This Row],[Team Number]],InnovationProjectResults[Team Number],InnovationProjectResults[Communicate - Impact (CV)])</f>
        <v>0</v>
      </c>
      <c r="G86" s="87">
        <f>_xlfn.XLOOKUP(CoreValuesResults[[#This Row],[Team Number]],InnovationProjectResults[Team Number],InnovationProjectResults[Communicate - Fun (CV)])</f>
        <v>0</v>
      </c>
      <c r="H86" s="87">
        <f>_xlfn.XLOOKUP(CoreValuesResults[[#This Row],[Team Number]],RobotDesignResults[Team Number],RobotDesignResults[Identify - Research (CV)])</f>
        <v>0</v>
      </c>
      <c r="I86" s="87">
        <f>_xlfn.XLOOKUP(CoreValuesResults[[#This Row],[Team Number]],RobotDesignResults[Team Number],RobotDesignResults[Design - Ideas (CV)])</f>
        <v>0</v>
      </c>
      <c r="J86" s="87">
        <f>_xlfn.XLOOKUP(CoreValuesResults[[#This Row],[Team Number]],RobotDesignResults[Team Number],RobotDesignResults[Iterate - Improvements (CV)])</f>
        <v>0</v>
      </c>
      <c r="K86" s="87">
        <f>_xlfn.XLOOKUP(CoreValuesResults[[#This Row],[Team Number]],RobotDesignResults[Team Number],RobotDesignResults[Communicate - Impact (CV)])</f>
        <v>0</v>
      </c>
      <c r="L86" s="87">
        <f>_xlfn.XLOOKUP(CoreValuesResults[[#This Row],[Team Number]],RobotDesignResults[Team Number],RobotDesignResults[Communicate - Fun (CV)])</f>
        <v>0</v>
      </c>
      <c r="M86" s="17"/>
      <c r="N86" s="17"/>
      <c r="O86" s="17"/>
      <c r="P86" s="17"/>
      <c r="Q86" s="17"/>
      <c r="R86" s="12"/>
      <c r="S86" s="12"/>
      <c r="T86" s="12"/>
      <c r="U86" s="81">
        <f>SUM(CoreValuesResults[[#This Row],[Discovery (IP)]:[Fun (RD)]],CoreValuesResults[[#This Row],[Gracious Professionalism Score]])</f>
        <v>0</v>
      </c>
      <c r="V86" s="43">
        <f>IF(CoreValuesResults[[#This Row],[Team Number]]&gt;0,MIN(_xlfn.RANK.EQ(CoreValuesResults[[#This Row],[Core Values Score]],CoreValuesResults[Core Values Score],0),NumberOfTeams),NumberOfTeams+1)</f>
        <v>1</v>
      </c>
      <c r="W86" s="82"/>
      <c r="X86" s="82"/>
      <c r="Y86" s="82"/>
    </row>
    <row r="87" spans="1:25" ht="30" customHeight="1" x14ac:dyDescent="0.45">
      <c r="A87" s="12">
        <f>_xlfn.XLOOKUP(86,OfficialTeamList[Row],OfficialTeamList[Team Number],"ERROR",0)</f>
        <v>0</v>
      </c>
      <c r="B87" s="42" t="str">
        <f>_xlfn.XLOOKUP(CoreValuesResults[[#This Row],[Team Number]],OfficialTeamList[Team Number],OfficialTeamList[Team Name],"",0,)</f>
        <v/>
      </c>
      <c r="C87" s="87">
        <f>_xlfn.XLOOKUP(CoreValuesResults[[#This Row],[Team Number]],InnovationProjectResults[Team Number],InnovationProjectResults[Identify - Research (CV)])</f>
        <v>0</v>
      </c>
      <c r="D87" s="87">
        <f>_xlfn.XLOOKUP(CoreValuesResults[[#This Row],[Team Number]],InnovationProjectResults[Team Number],InnovationProjectResults[Design - Teamwork (CV)])</f>
        <v>0</v>
      </c>
      <c r="E87" s="87">
        <f>_xlfn.XLOOKUP(CoreValuesResults[[#This Row],[Team Number]],InnovationProjectResults[Team Number],InnovationProjectResults[Create - Innovation (CV)])</f>
        <v>0</v>
      </c>
      <c r="F87" s="87">
        <f>_xlfn.XLOOKUP(CoreValuesResults[[#This Row],[Team Number]],InnovationProjectResults[Team Number],InnovationProjectResults[Communicate - Impact (CV)])</f>
        <v>0</v>
      </c>
      <c r="G87" s="87">
        <f>_xlfn.XLOOKUP(CoreValuesResults[[#This Row],[Team Number]],InnovationProjectResults[Team Number],InnovationProjectResults[Communicate - Fun (CV)])</f>
        <v>0</v>
      </c>
      <c r="H87" s="87">
        <f>_xlfn.XLOOKUP(CoreValuesResults[[#This Row],[Team Number]],RobotDesignResults[Team Number],RobotDesignResults[Identify - Research (CV)])</f>
        <v>0</v>
      </c>
      <c r="I87" s="87">
        <f>_xlfn.XLOOKUP(CoreValuesResults[[#This Row],[Team Number]],RobotDesignResults[Team Number],RobotDesignResults[Design - Ideas (CV)])</f>
        <v>0</v>
      </c>
      <c r="J87" s="87">
        <f>_xlfn.XLOOKUP(CoreValuesResults[[#This Row],[Team Number]],RobotDesignResults[Team Number],RobotDesignResults[Iterate - Improvements (CV)])</f>
        <v>0</v>
      </c>
      <c r="K87" s="87">
        <f>_xlfn.XLOOKUP(CoreValuesResults[[#This Row],[Team Number]],RobotDesignResults[Team Number],RobotDesignResults[Communicate - Impact (CV)])</f>
        <v>0</v>
      </c>
      <c r="L87" s="87">
        <f>_xlfn.XLOOKUP(CoreValuesResults[[#This Row],[Team Number]],RobotDesignResults[Team Number],RobotDesignResults[Communicate - Fun (CV)])</f>
        <v>0</v>
      </c>
      <c r="M87" s="17"/>
      <c r="N87" s="17"/>
      <c r="O87" s="17"/>
      <c r="P87" s="17"/>
      <c r="Q87" s="17"/>
      <c r="R87" s="12"/>
      <c r="S87" s="12"/>
      <c r="T87" s="12"/>
      <c r="U87" s="81">
        <f>SUM(CoreValuesResults[[#This Row],[Discovery (IP)]:[Fun (RD)]],CoreValuesResults[[#This Row],[Gracious Professionalism Score]])</f>
        <v>0</v>
      </c>
      <c r="V87" s="43">
        <f>IF(CoreValuesResults[[#This Row],[Team Number]]&gt;0,MIN(_xlfn.RANK.EQ(CoreValuesResults[[#This Row],[Core Values Score]],CoreValuesResults[Core Values Score],0),NumberOfTeams),NumberOfTeams+1)</f>
        <v>1</v>
      </c>
      <c r="W87" s="82"/>
      <c r="X87" s="82"/>
      <c r="Y87" s="82"/>
    </row>
    <row r="88" spans="1:25" ht="30" customHeight="1" x14ac:dyDescent="0.45">
      <c r="A88" s="12">
        <f>_xlfn.XLOOKUP(87,OfficialTeamList[Row],OfficialTeamList[Team Number],"ERROR",0)</f>
        <v>0</v>
      </c>
      <c r="B88" s="42" t="str">
        <f>_xlfn.XLOOKUP(CoreValuesResults[[#This Row],[Team Number]],OfficialTeamList[Team Number],OfficialTeamList[Team Name],"",0,)</f>
        <v/>
      </c>
      <c r="C88" s="87">
        <f>_xlfn.XLOOKUP(CoreValuesResults[[#This Row],[Team Number]],InnovationProjectResults[Team Number],InnovationProjectResults[Identify - Research (CV)])</f>
        <v>0</v>
      </c>
      <c r="D88" s="87">
        <f>_xlfn.XLOOKUP(CoreValuesResults[[#This Row],[Team Number]],InnovationProjectResults[Team Number],InnovationProjectResults[Design - Teamwork (CV)])</f>
        <v>0</v>
      </c>
      <c r="E88" s="87">
        <f>_xlfn.XLOOKUP(CoreValuesResults[[#This Row],[Team Number]],InnovationProjectResults[Team Number],InnovationProjectResults[Create - Innovation (CV)])</f>
        <v>0</v>
      </c>
      <c r="F88" s="87">
        <f>_xlfn.XLOOKUP(CoreValuesResults[[#This Row],[Team Number]],InnovationProjectResults[Team Number],InnovationProjectResults[Communicate - Impact (CV)])</f>
        <v>0</v>
      </c>
      <c r="G88" s="87">
        <f>_xlfn.XLOOKUP(CoreValuesResults[[#This Row],[Team Number]],InnovationProjectResults[Team Number],InnovationProjectResults[Communicate - Fun (CV)])</f>
        <v>0</v>
      </c>
      <c r="H88" s="87">
        <f>_xlfn.XLOOKUP(CoreValuesResults[[#This Row],[Team Number]],RobotDesignResults[Team Number],RobotDesignResults[Identify - Research (CV)])</f>
        <v>0</v>
      </c>
      <c r="I88" s="87">
        <f>_xlfn.XLOOKUP(CoreValuesResults[[#This Row],[Team Number]],RobotDesignResults[Team Number],RobotDesignResults[Design - Ideas (CV)])</f>
        <v>0</v>
      </c>
      <c r="J88" s="87">
        <f>_xlfn.XLOOKUP(CoreValuesResults[[#This Row],[Team Number]],RobotDesignResults[Team Number],RobotDesignResults[Iterate - Improvements (CV)])</f>
        <v>0</v>
      </c>
      <c r="K88" s="87">
        <f>_xlfn.XLOOKUP(CoreValuesResults[[#This Row],[Team Number]],RobotDesignResults[Team Number],RobotDesignResults[Communicate - Impact (CV)])</f>
        <v>0</v>
      </c>
      <c r="L88" s="87">
        <f>_xlfn.XLOOKUP(CoreValuesResults[[#This Row],[Team Number]],RobotDesignResults[Team Number],RobotDesignResults[Communicate - Fun (CV)])</f>
        <v>0</v>
      </c>
      <c r="M88" s="17"/>
      <c r="N88" s="17"/>
      <c r="O88" s="17"/>
      <c r="P88" s="17"/>
      <c r="Q88" s="17"/>
      <c r="R88" s="12"/>
      <c r="S88" s="12"/>
      <c r="T88" s="12"/>
      <c r="U88" s="81">
        <f>SUM(CoreValuesResults[[#This Row],[Discovery (IP)]:[Fun (RD)]],CoreValuesResults[[#This Row],[Gracious Professionalism Score]])</f>
        <v>0</v>
      </c>
      <c r="V88" s="43">
        <f>IF(CoreValuesResults[[#This Row],[Team Number]]&gt;0,MIN(_xlfn.RANK.EQ(CoreValuesResults[[#This Row],[Core Values Score]],CoreValuesResults[Core Values Score],0),NumberOfTeams),NumberOfTeams+1)</f>
        <v>1</v>
      </c>
      <c r="W88" s="82"/>
      <c r="X88" s="82"/>
      <c r="Y88" s="82"/>
    </row>
    <row r="89" spans="1:25" ht="30" customHeight="1" x14ac:dyDescent="0.45">
      <c r="A89" s="12">
        <f>_xlfn.XLOOKUP(88,OfficialTeamList[Row],OfficialTeamList[Team Number],"ERROR",0)</f>
        <v>0</v>
      </c>
      <c r="B89" s="42" t="str">
        <f>_xlfn.XLOOKUP(CoreValuesResults[[#This Row],[Team Number]],OfficialTeamList[Team Number],OfficialTeamList[Team Name],"",0,)</f>
        <v/>
      </c>
      <c r="C89" s="87">
        <f>_xlfn.XLOOKUP(CoreValuesResults[[#This Row],[Team Number]],InnovationProjectResults[Team Number],InnovationProjectResults[Identify - Research (CV)])</f>
        <v>0</v>
      </c>
      <c r="D89" s="87">
        <f>_xlfn.XLOOKUP(CoreValuesResults[[#This Row],[Team Number]],InnovationProjectResults[Team Number],InnovationProjectResults[Design - Teamwork (CV)])</f>
        <v>0</v>
      </c>
      <c r="E89" s="87">
        <f>_xlfn.XLOOKUP(CoreValuesResults[[#This Row],[Team Number]],InnovationProjectResults[Team Number],InnovationProjectResults[Create - Innovation (CV)])</f>
        <v>0</v>
      </c>
      <c r="F89" s="87">
        <f>_xlfn.XLOOKUP(CoreValuesResults[[#This Row],[Team Number]],InnovationProjectResults[Team Number],InnovationProjectResults[Communicate - Impact (CV)])</f>
        <v>0</v>
      </c>
      <c r="G89" s="87">
        <f>_xlfn.XLOOKUP(CoreValuesResults[[#This Row],[Team Number]],InnovationProjectResults[Team Number],InnovationProjectResults[Communicate - Fun (CV)])</f>
        <v>0</v>
      </c>
      <c r="H89" s="87">
        <f>_xlfn.XLOOKUP(CoreValuesResults[[#This Row],[Team Number]],RobotDesignResults[Team Number],RobotDesignResults[Identify - Research (CV)])</f>
        <v>0</v>
      </c>
      <c r="I89" s="87">
        <f>_xlfn.XLOOKUP(CoreValuesResults[[#This Row],[Team Number]],RobotDesignResults[Team Number],RobotDesignResults[Design - Ideas (CV)])</f>
        <v>0</v>
      </c>
      <c r="J89" s="87">
        <f>_xlfn.XLOOKUP(CoreValuesResults[[#This Row],[Team Number]],RobotDesignResults[Team Number],RobotDesignResults[Iterate - Improvements (CV)])</f>
        <v>0</v>
      </c>
      <c r="K89" s="87">
        <f>_xlfn.XLOOKUP(CoreValuesResults[[#This Row],[Team Number]],RobotDesignResults[Team Number],RobotDesignResults[Communicate - Impact (CV)])</f>
        <v>0</v>
      </c>
      <c r="L89" s="87">
        <f>_xlfn.XLOOKUP(CoreValuesResults[[#This Row],[Team Number]],RobotDesignResults[Team Number],RobotDesignResults[Communicate - Fun (CV)])</f>
        <v>0</v>
      </c>
      <c r="M89" s="17"/>
      <c r="N89" s="17"/>
      <c r="O89" s="17"/>
      <c r="P89" s="17"/>
      <c r="Q89" s="17"/>
      <c r="R89" s="12"/>
      <c r="S89" s="12"/>
      <c r="T89" s="12"/>
      <c r="U89" s="81">
        <f>SUM(CoreValuesResults[[#This Row],[Discovery (IP)]:[Fun (RD)]],CoreValuesResults[[#This Row],[Gracious Professionalism Score]])</f>
        <v>0</v>
      </c>
      <c r="V89" s="43">
        <f>IF(CoreValuesResults[[#This Row],[Team Number]]&gt;0,MIN(_xlfn.RANK.EQ(CoreValuesResults[[#This Row],[Core Values Score]],CoreValuesResults[Core Values Score],0),NumberOfTeams),NumberOfTeams+1)</f>
        <v>1</v>
      </c>
      <c r="W89" s="82"/>
      <c r="X89" s="82"/>
      <c r="Y89" s="82"/>
    </row>
    <row r="90" spans="1:25" ht="30" customHeight="1" x14ac:dyDescent="0.45">
      <c r="A90" s="12">
        <f>_xlfn.XLOOKUP(89,OfficialTeamList[Row],OfficialTeamList[Team Number],"ERROR",0)</f>
        <v>0</v>
      </c>
      <c r="B90" s="42" t="str">
        <f>_xlfn.XLOOKUP(CoreValuesResults[[#This Row],[Team Number]],OfficialTeamList[Team Number],OfficialTeamList[Team Name],"",0,)</f>
        <v/>
      </c>
      <c r="C90" s="87">
        <f>_xlfn.XLOOKUP(CoreValuesResults[[#This Row],[Team Number]],InnovationProjectResults[Team Number],InnovationProjectResults[Identify - Research (CV)])</f>
        <v>0</v>
      </c>
      <c r="D90" s="87">
        <f>_xlfn.XLOOKUP(CoreValuesResults[[#This Row],[Team Number]],InnovationProjectResults[Team Number],InnovationProjectResults[Design - Teamwork (CV)])</f>
        <v>0</v>
      </c>
      <c r="E90" s="87">
        <f>_xlfn.XLOOKUP(CoreValuesResults[[#This Row],[Team Number]],InnovationProjectResults[Team Number],InnovationProjectResults[Create - Innovation (CV)])</f>
        <v>0</v>
      </c>
      <c r="F90" s="87">
        <f>_xlfn.XLOOKUP(CoreValuesResults[[#This Row],[Team Number]],InnovationProjectResults[Team Number],InnovationProjectResults[Communicate - Impact (CV)])</f>
        <v>0</v>
      </c>
      <c r="G90" s="87">
        <f>_xlfn.XLOOKUP(CoreValuesResults[[#This Row],[Team Number]],InnovationProjectResults[Team Number],InnovationProjectResults[Communicate - Fun (CV)])</f>
        <v>0</v>
      </c>
      <c r="H90" s="87">
        <f>_xlfn.XLOOKUP(CoreValuesResults[[#This Row],[Team Number]],RobotDesignResults[Team Number],RobotDesignResults[Identify - Research (CV)])</f>
        <v>0</v>
      </c>
      <c r="I90" s="87">
        <f>_xlfn.XLOOKUP(CoreValuesResults[[#This Row],[Team Number]],RobotDesignResults[Team Number],RobotDesignResults[Design - Ideas (CV)])</f>
        <v>0</v>
      </c>
      <c r="J90" s="87">
        <f>_xlfn.XLOOKUP(CoreValuesResults[[#This Row],[Team Number]],RobotDesignResults[Team Number],RobotDesignResults[Iterate - Improvements (CV)])</f>
        <v>0</v>
      </c>
      <c r="K90" s="87">
        <f>_xlfn.XLOOKUP(CoreValuesResults[[#This Row],[Team Number]],RobotDesignResults[Team Number],RobotDesignResults[Communicate - Impact (CV)])</f>
        <v>0</v>
      </c>
      <c r="L90" s="87">
        <f>_xlfn.XLOOKUP(CoreValuesResults[[#This Row],[Team Number]],RobotDesignResults[Team Number],RobotDesignResults[Communicate - Fun (CV)])</f>
        <v>0</v>
      </c>
      <c r="M90" s="17"/>
      <c r="N90" s="17"/>
      <c r="O90" s="17"/>
      <c r="P90" s="17"/>
      <c r="Q90" s="17"/>
      <c r="R90" s="12"/>
      <c r="S90" s="12"/>
      <c r="T90" s="12"/>
      <c r="U90" s="81">
        <f>SUM(CoreValuesResults[[#This Row],[Discovery (IP)]:[Fun (RD)]],CoreValuesResults[[#This Row],[Gracious Professionalism Score]])</f>
        <v>0</v>
      </c>
      <c r="V90" s="43">
        <f>IF(CoreValuesResults[[#This Row],[Team Number]]&gt;0,MIN(_xlfn.RANK.EQ(CoreValuesResults[[#This Row],[Core Values Score]],CoreValuesResults[Core Values Score],0),NumberOfTeams),NumberOfTeams+1)</f>
        <v>1</v>
      </c>
      <c r="W90" s="82"/>
      <c r="X90" s="82"/>
      <c r="Y90" s="82"/>
    </row>
    <row r="91" spans="1:25" ht="30" customHeight="1" x14ac:dyDescent="0.45">
      <c r="A91" s="12">
        <f>_xlfn.XLOOKUP(90,OfficialTeamList[Row],OfficialTeamList[Team Number],"ERROR",0)</f>
        <v>0</v>
      </c>
      <c r="B91" s="42" t="str">
        <f>_xlfn.XLOOKUP(CoreValuesResults[[#This Row],[Team Number]],OfficialTeamList[Team Number],OfficialTeamList[Team Name],"",0,)</f>
        <v/>
      </c>
      <c r="C91" s="87">
        <f>_xlfn.XLOOKUP(CoreValuesResults[[#This Row],[Team Number]],InnovationProjectResults[Team Number],InnovationProjectResults[Identify - Research (CV)])</f>
        <v>0</v>
      </c>
      <c r="D91" s="87">
        <f>_xlfn.XLOOKUP(CoreValuesResults[[#This Row],[Team Number]],InnovationProjectResults[Team Number],InnovationProjectResults[Design - Teamwork (CV)])</f>
        <v>0</v>
      </c>
      <c r="E91" s="87">
        <f>_xlfn.XLOOKUP(CoreValuesResults[[#This Row],[Team Number]],InnovationProjectResults[Team Number],InnovationProjectResults[Create - Innovation (CV)])</f>
        <v>0</v>
      </c>
      <c r="F91" s="87">
        <f>_xlfn.XLOOKUP(CoreValuesResults[[#This Row],[Team Number]],InnovationProjectResults[Team Number],InnovationProjectResults[Communicate - Impact (CV)])</f>
        <v>0</v>
      </c>
      <c r="G91" s="87">
        <f>_xlfn.XLOOKUP(CoreValuesResults[[#This Row],[Team Number]],InnovationProjectResults[Team Number],InnovationProjectResults[Communicate - Fun (CV)])</f>
        <v>0</v>
      </c>
      <c r="H91" s="87">
        <f>_xlfn.XLOOKUP(CoreValuesResults[[#This Row],[Team Number]],RobotDesignResults[Team Number],RobotDesignResults[Identify - Research (CV)])</f>
        <v>0</v>
      </c>
      <c r="I91" s="87">
        <f>_xlfn.XLOOKUP(CoreValuesResults[[#This Row],[Team Number]],RobotDesignResults[Team Number],RobotDesignResults[Design - Ideas (CV)])</f>
        <v>0</v>
      </c>
      <c r="J91" s="87">
        <f>_xlfn.XLOOKUP(CoreValuesResults[[#This Row],[Team Number]],RobotDesignResults[Team Number],RobotDesignResults[Iterate - Improvements (CV)])</f>
        <v>0</v>
      </c>
      <c r="K91" s="87">
        <f>_xlfn.XLOOKUP(CoreValuesResults[[#This Row],[Team Number]],RobotDesignResults[Team Number],RobotDesignResults[Communicate - Impact (CV)])</f>
        <v>0</v>
      </c>
      <c r="L91" s="87">
        <f>_xlfn.XLOOKUP(CoreValuesResults[[#This Row],[Team Number]],RobotDesignResults[Team Number],RobotDesignResults[Communicate - Fun (CV)])</f>
        <v>0</v>
      </c>
      <c r="M91" s="17"/>
      <c r="N91" s="17"/>
      <c r="O91" s="17"/>
      <c r="P91" s="17"/>
      <c r="Q91" s="17"/>
      <c r="R91" s="12"/>
      <c r="S91" s="12"/>
      <c r="T91" s="12"/>
      <c r="U91" s="81">
        <f>SUM(CoreValuesResults[[#This Row],[Discovery (IP)]:[Fun (RD)]],CoreValuesResults[[#This Row],[Gracious Professionalism Score]])</f>
        <v>0</v>
      </c>
      <c r="V91" s="43">
        <f>IF(CoreValuesResults[[#This Row],[Team Number]]&gt;0,MIN(_xlfn.RANK.EQ(CoreValuesResults[[#This Row],[Core Values Score]],CoreValuesResults[Core Values Score],0),NumberOfTeams),NumberOfTeams+1)</f>
        <v>1</v>
      </c>
      <c r="W91" s="82"/>
      <c r="X91" s="82"/>
      <c r="Y91" s="82"/>
    </row>
    <row r="92" spans="1:25" ht="30" customHeight="1" x14ac:dyDescent="0.45">
      <c r="A92" s="12">
        <f>_xlfn.XLOOKUP(91,OfficialTeamList[Row],OfficialTeamList[Team Number],"ERROR",0)</f>
        <v>0</v>
      </c>
      <c r="B92" s="42" t="str">
        <f>_xlfn.XLOOKUP(CoreValuesResults[[#This Row],[Team Number]],OfficialTeamList[Team Number],OfficialTeamList[Team Name],"",0,)</f>
        <v/>
      </c>
      <c r="C92" s="87">
        <f>_xlfn.XLOOKUP(CoreValuesResults[[#This Row],[Team Number]],InnovationProjectResults[Team Number],InnovationProjectResults[Identify - Research (CV)])</f>
        <v>0</v>
      </c>
      <c r="D92" s="87">
        <f>_xlfn.XLOOKUP(CoreValuesResults[[#This Row],[Team Number]],InnovationProjectResults[Team Number],InnovationProjectResults[Design - Teamwork (CV)])</f>
        <v>0</v>
      </c>
      <c r="E92" s="87">
        <f>_xlfn.XLOOKUP(CoreValuesResults[[#This Row],[Team Number]],InnovationProjectResults[Team Number],InnovationProjectResults[Create - Innovation (CV)])</f>
        <v>0</v>
      </c>
      <c r="F92" s="87">
        <f>_xlfn.XLOOKUP(CoreValuesResults[[#This Row],[Team Number]],InnovationProjectResults[Team Number],InnovationProjectResults[Communicate - Impact (CV)])</f>
        <v>0</v>
      </c>
      <c r="G92" s="87">
        <f>_xlfn.XLOOKUP(CoreValuesResults[[#This Row],[Team Number]],InnovationProjectResults[Team Number],InnovationProjectResults[Communicate - Fun (CV)])</f>
        <v>0</v>
      </c>
      <c r="H92" s="87">
        <f>_xlfn.XLOOKUP(CoreValuesResults[[#This Row],[Team Number]],RobotDesignResults[Team Number],RobotDesignResults[Identify - Research (CV)])</f>
        <v>0</v>
      </c>
      <c r="I92" s="87">
        <f>_xlfn.XLOOKUP(CoreValuesResults[[#This Row],[Team Number]],RobotDesignResults[Team Number],RobotDesignResults[Design - Ideas (CV)])</f>
        <v>0</v>
      </c>
      <c r="J92" s="87">
        <f>_xlfn.XLOOKUP(CoreValuesResults[[#This Row],[Team Number]],RobotDesignResults[Team Number],RobotDesignResults[Iterate - Improvements (CV)])</f>
        <v>0</v>
      </c>
      <c r="K92" s="87">
        <f>_xlfn.XLOOKUP(CoreValuesResults[[#This Row],[Team Number]],RobotDesignResults[Team Number],RobotDesignResults[Communicate - Impact (CV)])</f>
        <v>0</v>
      </c>
      <c r="L92" s="87">
        <f>_xlfn.XLOOKUP(CoreValuesResults[[#This Row],[Team Number]],RobotDesignResults[Team Number],RobotDesignResults[Communicate - Fun (CV)])</f>
        <v>0</v>
      </c>
      <c r="M92" s="17"/>
      <c r="N92" s="17"/>
      <c r="O92" s="17"/>
      <c r="P92" s="17"/>
      <c r="Q92" s="17"/>
      <c r="R92" s="12"/>
      <c r="S92" s="12"/>
      <c r="T92" s="12"/>
      <c r="U92" s="81">
        <f>SUM(CoreValuesResults[[#This Row],[Discovery (IP)]:[Fun (RD)]],CoreValuesResults[[#This Row],[Gracious Professionalism Score]])</f>
        <v>0</v>
      </c>
      <c r="V92" s="43">
        <f>IF(CoreValuesResults[[#This Row],[Team Number]]&gt;0,MIN(_xlfn.RANK.EQ(CoreValuesResults[[#This Row],[Core Values Score]],CoreValuesResults[Core Values Score],0),NumberOfTeams),NumberOfTeams+1)</f>
        <v>1</v>
      </c>
      <c r="W92" s="82"/>
      <c r="X92" s="82"/>
      <c r="Y92" s="82"/>
    </row>
    <row r="93" spans="1:25" ht="30" customHeight="1" x14ac:dyDescent="0.45">
      <c r="A93" s="12">
        <f>_xlfn.XLOOKUP(92,OfficialTeamList[Row],OfficialTeamList[Team Number],"ERROR",0)</f>
        <v>0</v>
      </c>
      <c r="B93" s="42" t="str">
        <f>_xlfn.XLOOKUP(CoreValuesResults[[#This Row],[Team Number]],OfficialTeamList[Team Number],OfficialTeamList[Team Name],"",0,)</f>
        <v/>
      </c>
      <c r="C93" s="87">
        <f>_xlfn.XLOOKUP(CoreValuesResults[[#This Row],[Team Number]],InnovationProjectResults[Team Number],InnovationProjectResults[Identify - Research (CV)])</f>
        <v>0</v>
      </c>
      <c r="D93" s="87">
        <f>_xlfn.XLOOKUP(CoreValuesResults[[#This Row],[Team Number]],InnovationProjectResults[Team Number],InnovationProjectResults[Design - Teamwork (CV)])</f>
        <v>0</v>
      </c>
      <c r="E93" s="87">
        <f>_xlfn.XLOOKUP(CoreValuesResults[[#This Row],[Team Number]],InnovationProjectResults[Team Number],InnovationProjectResults[Create - Innovation (CV)])</f>
        <v>0</v>
      </c>
      <c r="F93" s="87">
        <f>_xlfn.XLOOKUP(CoreValuesResults[[#This Row],[Team Number]],InnovationProjectResults[Team Number],InnovationProjectResults[Communicate - Impact (CV)])</f>
        <v>0</v>
      </c>
      <c r="G93" s="87">
        <f>_xlfn.XLOOKUP(CoreValuesResults[[#This Row],[Team Number]],InnovationProjectResults[Team Number],InnovationProjectResults[Communicate - Fun (CV)])</f>
        <v>0</v>
      </c>
      <c r="H93" s="87">
        <f>_xlfn.XLOOKUP(CoreValuesResults[[#This Row],[Team Number]],RobotDesignResults[Team Number],RobotDesignResults[Identify - Research (CV)])</f>
        <v>0</v>
      </c>
      <c r="I93" s="87">
        <f>_xlfn.XLOOKUP(CoreValuesResults[[#This Row],[Team Number]],RobotDesignResults[Team Number],RobotDesignResults[Design - Ideas (CV)])</f>
        <v>0</v>
      </c>
      <c r="J93" s="87">
        <f>_xlfn.XLOOKUP(CoreValuesResults[[#This Row],[Team Number]],RobotDesignResults[Team Number],RobotDesignResults[Iterate - Improvements (CV)])</f>
        <v>0</v>
      </c>
      <c r="K93" s="87">
        <f>_xlfn.XLOOKUP(CoreValuesResults[[#This Row],[Team Number]],RobotDesignResults[Team Number],RobotDesignResults[Communicate - Impact (CV)])</f>
        <v>0</v>
      </c>
      <c r="L93" s="87">
        <f>_xlfn.XLOOKUP(CoreValuesResults[[#This Row],[Team Number]],RobotDesignResults[Team Number],RobotDesignResults[Communicate - Fun (CV)])</f>
        <v>0</v>
      </c>
      <c r="M93" s="17"/>
      <c r="N93" s="17"/>
      <c r="O93" s="17"/>
      <c r="P93" s="17"/>
      <c r="Q93" s="17"/>
      <c r="R93" s="12"/>
      <c r="S93" s="12"/>
      <c r="T93" s="12"/>
      <c r="U93" s="81">
        <f>SUM(CoreValuesResults[[#This Row],[Discovery (IP)]:[Fun (RD)]],CoreValuesResults[[#This Row],[Gracious Professionalism Score]])</f>
        <v>0</v>
      </c>
      <c r="V93" s="43">
        <f>IF(CoreValuesResults[[#This Row],[Team Number]]&gt;0,MIN(_xlfn.RANK.EQ(CoreValuesResults[[#This Row],[Core Values Score]],CoreValuesResults[Core Values Score],0),NumberOfTeams),NumberOfTeams+1)</f>
        <v>1</v>
      </c>
      <c r="W93" s="82"/>
      <c r="X93" s="82"/>
      <c r="Y93" s="82"/>
    </row>
    <row r="94" spans="1:25" ht="30" customHeight="1" x14ac:dyDescent="0.45">
      <c r="A94" s="12">
        <f>_xlfn.XLOOKUP(93,OfficialTeamList[Row],OfficialTeamList[Team Number],"ERROR",0)</f>
        <v>0</v>
      </c>
      <c r="B94" s="42" t="str">
        <f>_xlfn.XLOOKUP(CoreValuesResults[[#This Row],[Team Number]],OfficialTeamList[Team Number],OfficialTeamList[Team Name],"",0,)</f>
        <v/>
      </c>
      <c r="C94" s="87">
        <f>_xlfn.XLOOKUP(CoreValuesResults[[#This Row],[Team Number]],InnovationProjectResults[Team Number],InnovationProjectResults[Identify - Research (CV)])</f>
        <v>0</v>
      </c>
      <c r="D94" s="87">
        <f>_xlfn.XLOOKUP(CoreValuesResults[[#This Row],[Team Number]],InnovationProjectResults[Team Number],InnovationProjectResults[Design - Teamwork (CV)])</f>
        <v>0</v>
      </c>
      <c r="E94" s="87">
        <f>_xlfn.XLOOKUP(CoreValuesResults[[#This Row],[Team Number]],InnovationProjectResults[Team Number],InnovationProjectResults[Create - Innovation (CV)])</f>
        <v>0</v>
      </c>
      <c r="F94" s="87">
        <f>_xlfn.XLOOKUP(CoreValuesResults[[#This Row],[Team Number]],InnovationProjectResults[Team Number],InnovationProjectResults[Communicate - Impact (CV)])</f>
        <v>0</v>
      </c>
      <c r="G94" s="87">
        <f>_xlfn.XLOOKUP(CoreValuesResults[[#This Row],[Team Number]],InnovationProjectResults[Team Number],InnovationProjectResults[Communicate - Fun (CV)])</f>
        <v>0</v>
      </c>
      <c r="H94" s="87">
        <f>_xlfn.XLOOKUP(CoreValuesResults[[#This Row],[Team Number]],RobotDesignResults[Team Number],RobotDesignResults[Identify - Research (CV)])</f>
        <v>0</v>
      </c>
      <c r="I94" s="87">
        <f>_xlfn.XLOOKUP(CoreValuesResults[[#This Row],[Team Number]],RobotDesignResults[Team Number],RobotDesignResults[Design - Ideas (CV)])</f>
        <v>0</v>
      </c>
      <c r="J94" s="87">
        <f>_xlfn.XLOOKUP(CoreValuesResults[[#This Row],[Team Number]],RobotDesignResults[Team Number],RobotDesignResults[Iterate - Improvements (CV)])</f>
        <v>0</v>
      </c>
      <c r="K94" s="87">
        <f>_xlfn.XLOOKUP(CoreValuesResults[[#This Row],[Team Number]],RobotDesignResults[Team Number],RobotDesignResults[Communicate - Impact (CV)])</f>
        <v>0</v>
      </c>
      <c r="L94" s="87">
        <f>_xlfn.XLOOKUP(CoreValuesResults[[#This Row],[Team Number]],RobotDesignResults[Team Number],RobotDesignResults[Communicate - Fun (CV)])</f>
        <v>0</v>
      </c>
      <c r="M94" s="17"/>
      <c r="N94" s="17"/>
      <c r="O94" s="17"/>
      <c r="P94" s="17"/>
      <c r="Q94" s="17"/>
      <c r="R94" s="12"/>
      <c r="S94" s="12"/>
      <c r="T94" s="12"/>
      <c r="U94" s="81">
        <f>SUM(CoreValuesResults[[#This Row],[Discovery (IP)]:[Fun (RD)]],CoreValuesResults[[#This Row],[Gracious Professionalism Score]])</f>
        <v>0</v>
      </c>
      <c r="V94" s="43">
        <f>IF(CoreValuesResults[[#This Row],[Team Number]]&gt;0,MIN(_xlfn.RANK.EQ(CoreValuesResults[[#This Row],[Core Values Score]],CoreValuesResults[Core Values Score],0),NumberOfTeams),NumberOfTeams+1)</f>
        <v>1</v>
      </c>
      <c r="W94" s="82"/>
      <c r="X94" s="82"/>
      <c r="Y94" s="82"/>
    </row>
    <row r="95" spans="1:25" ht="30" customHeight="1" x14ac:dyDescent="0.45">
      <c r="A95" s="12">
        <f>_xlfn.XLOOKUP(94,OfficialTeamList[Row],OfficialTeamList[Team Number],"ERROR",0)</f>
        <v>0</v>
      </c>
      <c r="B95" s="42" t="str">
        <f>_xlfn.XLOOKUP(CoreValuesResults[[#This Row],[Team Number]],OfficialTeamList[Team Number],OfficialTeamList[Team Name],"",0,)</f>
        <v/>
      </c>
      <c r="C95" s="87">
        <f>_xlfn.XLOOKUP(CoreValuesResults[[#This Row],[Team Number]],InnovationProjectResults[Team Number],InnovationProjectResults[Identify - Research (CV)])</f>
        <v>0</v>
      </c>
      <c r="D95" s="87">
        <f>_xlfn.XLOOKUP(CoreValuesResults[[#This Row],[Team Number]],InnovationProjectResults[Team Number],InnovationProjectResults[Design - Teamwork (CV)])</f>
        <v>0</v>
      </c>
      <c r="E95" s="87">
        <f>_xlfn.XLOOKUP(CoreValuesResults[[#This Row],[Team Number]],InnovationProjectResults[Team Number],InnovationProjectResults[Create - Innovation (CV)])</f>
        <v>0</v>
      </c>
      <c r="F95" s="87">
        <f>_xlfn.XLOOKUP(CoreValuesResults[[#This Row],[Team Number]],InnovationProjectResults[Team Number],InnovationProjectResults[Communicate - Impact (CV)])</f>
        <v>0</v>
      </c>
      <c r="G95" s="87">
        <f>_xlfn.XLOOKUP(CoreValuesResults[[#This Row],[Team Number]],InnovationProjectResults[Team Number],InnovationProjectResults[Communicate - Fun (CV)])</f>
        <v>0</v>
      </c>
      <c r="H95" s="87">
        <f>_xlfn.XLOOKUP(CoreValuesResults[[#This Row],[Team Number]],RobotDesignResults[Team Number],RobotDesignResults[Identify - Research (CV)])</f>
        <v>0</v>
      </c>
      <c r="I95" s="87">
        <f>_xlfn.XLOOKUP(CoreValuesResults[[#This Row],[Team Number]],RobotDesignResults[Team Number],RobotDesignResults[Design - Ideas (CV)])</f>
        <v>0</v>
      </c>
      <c r="J95" s="87">
        <f>_xlfn.XLOOKUP(CoreValuesResults[[#This Row],[Team Number]],RobotDesignResults[Team Number],RobotDesignResults[Iterate - Improvements (CV)])</f>
        <v>0</v>
      </c>
      <c r="K95" s="87">
        <f>_xlfn.XLOOKUP(CoreValuesResults[[#This Row],[Team Number]],RobotDesignResults[Team Number],RobotDesignResults[Communicate - Impact (CV)])</f>
        <v>0</v>
      </c>
      <c r="L95" s="87">
        <f>_xlfn.XLOOKUP(CoreValuesResults[[#This Row],[Team Number]],RobotDesignResults[Team Number],RobotDesignResults[Communicate - Fun (CV)])</f>
        <v>0</v>
      </c>
      <c r="M95" s="17"/>
      <c r="N95" s="17"/>
      <c r="O95" s="17"/>
      <c r="P95" s="17"/>
      <c r="Q95" s="17"/>
      <c r="R95" s="12"/>
      <c r="S95" s="12"/>
      <c r="T95" s="12"/>
      <c r="U95" s="81">
        <f>SUM(CoreValuesResults[[#This Row],[Discovery (IP)]:[Fun (RD)]],CoreValuesResults[[#This Row],[Gracious Professionalism Score]])</f>
        <v>0</v>
      </c>
      <c r="V95" s="43">
        <f>IF(CoreValuesResults[[#This Row],[Team Number]]&gt;0,MIN(_xlfn.RANK.EQ(CoreValuesResults[[#This Row],[Core Values Score]],CoreValuesResults[Core Values Score],0),NumberOfTeams),NumberOfTeams+1)</f>
        <v>1</v>
      </c>
      <c r="W95" s="82"/>
      <c r="X95" s="82"/>
      <c r="Y95" s="82"/>
    </row>
    <row r="96" spans="1:25" ht="30" customHeight="1" x14ac:dyDescent="0.45">
      <c r="A96" s="12">
        <f>_xlfn.XLOOKUP(95,OfficialTeamList[Row],OfficialTeamList[Team Number],"ERROR",0)</f>
        <v>0</v>
      </c>
      <c r="B96" s="42" t="str">
        <f>_xlfn.XLOOKUP(CoreValuesResults[[#This Row],[Team Number]],OfficialTeamList[Team Number],OfficialTeamList[Team Name],"",0,)</f>
        <v/>
      </c>
      <c r="C96" s="87">
        <f>_xlfn.XLOOKUP(CoreValuesResults[[#This Row],[Team Number]],InnovationProjectResults[Team Number],InnovationProjectResults[Identify - Research (CV)])</f>
        <v>0</v>
      </c>
      <c r="D96" s="87">
        <f>_xlfn.XLOOKUP(CoreValuesResults[[#This Row],[Team Number]],InnovationProjectResults[Team Number],InnovationProjectResults[Design - Teamwork (CV)])</f>
        <v>0</v>
      </c>
      <c r="E96" s="87">
        <f>_xlfn.XLOOKUP(CoreValuesResults[[#This Row],[Team Number]],InnovationProjectResults[Team Number],InnovationProjectResults[Create - Innovation (CV)])</f>
        <v>0</v>
      </c>
      <c r="F96" s="87">
        <f>_xlfn.XLOOKUP(CoreValuesResults[[#This Row],[Team Number]],InnovationProjectResults[Team Number],InnovationProjectResults[Communicate - Impact (CV)])</f>
        <v>0</v>
      </c>
      <c r="G96" s="87">
        <f>_xlfn.XLOOKUP(CoreValuesResults[[#This Row],[Team Number]],InnovationProjectResults[Team Number],InnovationProjectResults[Communicate - Fun (CV)])</f>
        <v>0</v>
      </c>
      <c r="H96" s="87">
        <f>_xlfn.XLOOKUP(CoreValuesResults[[#This Row],[Team Number]],RobotDesignResults[Team Number],RobotDesignResults[Identify - Research (CV)])</f>
        <v>0</v>
      </c>
      <c r="I96" s="87">
        <f>_xlfn.XLOOKUP(CoreValuesResults[[#This Row],[Team Number]],RobotDesignResults[Team Number],RobotDesignResults[Design - Ideas (CV)])</f>
        <v>0</v>
      </c>
      <c r="J96" s="87">
        <f>_xlfn.XLOOKUP(CoreValuesResults[[#This Row],[Team Number]],RobotDesignResults[Team Number],RobotDesignResults[Iterate - Improvements (CV)])</f>
        <v>0</v>
      </c>
      <c r="K96" s="87">
        <f>_xlfn.XLOOKUP(CoreValuesResults[[#This Row],[Team Number]],RobotDesignResults[Team Number],RobotDesignResults[Communicate - Impact (CV)])</f>
        <v>0</v>
      </c>
      <c r="L96" s="87">
        <f>_xlfn.XLOOKUP(CoreValuesResults[[#This Row],[Team Number]],RobotDesignResults[Team Number],RobotDesignResults[Communicate - Fun (CV)])</f>
        <v>0</v>
      </c>
      <c r="M96" s="17"/>
      <c r="N96" s="17"/>
      <c r="O96" s="17"/>
      <c r="P96" s="17"/>
      <c r="Q96" s="17"/>
      <c r="R96" s="12"/>
      <c r="S96" s="12"/>
      <c r="T96" s="12"/>
      <c r="U96" s="81">
        <f>SUM(CoreValuesResults[[#This Row],[Discovery (IP)]:[Fun (RD)]],CoreValuesResults[[#This Row],[Gracious Professionalism Score]])</f>
        <v>0</v>
      </c>
      <c r="V96" s="43">
        <f>IF(CoreValuesResults[[#This Row],[Team Number]]&gt;0,MIN(_xlfn.RANK.EQ(CoreValuesResults[[#This Row],[Core Values Score]],CoreValuesResults[Core Values Score],0),NumberOfTeams),NumberOfTeams+1)</f>
        <v>1</v>
      </c>
      <c r="W96" s="82"/>
      <c r="X96" s="82"/>
      <c r="Y96" s="82"/>
    </row>
    <row r="97" spans="1:25" ht="30" customHeight="1" x14ac:dyDescent="0.45">
      <c r="A97" s="12">
        <f>_xlfn.XLOOKUP(96,OfficialTeamList[Row],OfficialTeamList[Team Number],"ERROR",0)</f>
        <v>0</v>
      </c>
      <c r="B97" s="42" t="str">
        <f>_xlfn.XLOOKUP(CoreValuesResults[[#This Row],[Team Number]],OfficialTeamList[Team Number],OfficialTeamList[Team Name],"",0,)</f>
        <v/>
      </c>
      <c r="C97" s="87">
        <f>_xlfn.XLOOKUP(CoreValuesResults[[#This Row],[Team Number]],InnovationProjectResults[Team Number],InnovationProjectResults[Identify - Research (CV)])</f>
        <v>0</v>
      </c>
      <c r="D97" s="87">
        <f>_xlfn.XLOOKUP(CoreValuesResults[[#This Row],[Team Number]],InnovationProjectResults[Team Number],InnovationProjectResults[Design - Teamwork (CV)])</f>
        <v>0</v>
      </c>
      <c r="E97" s="87">
        <f>_xlfn.XLOOKUP(CoreValuesResults[[#This Row],[Team Number]],InnovationProjectResults[Team Number],InnovationProjectResults[Create - Innovation (CV)])</f>
        <v>0</v>
      </c>
      <c r="F97" s="87">
        <f>_xlfn.XLOOKUP(CoreValuesResults[[#This Row],[Team Number]],InnovationProjectResults[Team Number],InnovationProjectResults[Communicate - Impact (CV)])</f>
        <v>0</v>
      </c>
      <c r="G97" s="87">
        <f>_xlfn.XLOOKUP(CoreValuesResults[[#This Row],[Team Number]],InnovationProjectResults[Team Number],InnovationProjectResults[Communicate - Fun (CV)])</f>
        <v>0</v>
      </c>
      <c r="H97" s="87">
        <f>_xlfn.XLOOKUP(CoreValuesResults[[#This Row],[Team Number]],RobotDesignResults[Team Number],RobotDesignResults[Identify - Research (CV)])</f>
        <v>0</v>
      </c>
      <c r="I97" s="87">
        <f>_xlfn.XLOOKUP(CoreValuesResults[[#This Row],[Team Number]],RobotDesignResults[Team Number],RobotDesignResults[Design - Ideas (CV)])</f>
        <v>0</v>
      </c>
      <c r="J97" s="87">
        <f>_xlfn.XLOOKUP(CoreValuesResults[[#This Row],[Team Number]],RobotDesignResults[Team Number],RobotDesignResults[Iterate - Improvements (CV)])</f>
        <v>0</v>
      </c>
      <c r="K97" s="87">
        <f>_xlfn.XLOOKUP(CoreValuesResults[[#This Row],[Team Number]],RobotDesignResults[Team Number],RobotDesignResults[Communicate - Impact (CV)])</f>
        <v>0</v>
      </c>
      <c r="L97" s="87">
        <f>_xlfn.XLOOKUP(CoreValuesResults[[#This Row],[Team Number]],RobotDesignResults[Team Number],RobotDesignResults[Communicate - Fun (CV)])</f>
        <v>0</v>
      </c>
      <c r="M97" s="17"/>
      <c r="N97" s="17"/>
      <c r="O97" s="17"/>
      <c r="P97" s="17"/>
      <c r="Q97" s="17"/>
      <c r="R97" s="12"/>
      <c r="S97" s="12"/>
      <c r="T97" s="12"/>
      <c r="U97" s="81">
        <f>SUM(CoreValuesResults[[#This Row],[Discovery (IP)]:[Fun (RD)]],CoreValuesResults[[#This Row],[Gracious Professionalism Score]])</f>
        <v>0</v>
      </c>
      <c r="V97" s="43">
        <f>IF(CoreValuesResults[[#This Row],[Team Number]]&gt;0,MIN(_xlfn.RANK.EQ(CoreValuesResults[[#This Row],[Core Values Score]],CoreValuesResults[Core Values Score],0),NumberOfTeams),NumberOfTeams+1)</f>
        <v>1</v>
      </c>
      <c r="W97" s="82"/>
      <c r="X97" s="82"/>
      <c r="Y97" s="82"/>
    </row>
    <row r="98" spans="1:25" ht="30" customHeight="1" x14ac:dyDescent="0.45">
      <c r="A98" s="12">
        <f>_xlfn.XLOOKUP(97,OfficialTeamList[Row],OfficialTeamList[Team Number],"ERROR",0)</f>
        <v>0</v>
      </c>
      <c r="B98" s="42" t="str">
        <f>_xlfn.XLOOKUP(CoreValuesResults[[#This Row],[Team Number]],OfficialTeamList[Team Number],OfficialTeamList[Team Name],"",0,)</f>
        <v/>
      </c>
      <c r="C98" s="87">
        <f>_xlfn.XLOOKUP(CoreValuesResults[[#This Row],[Team Number]],InnovationProjectResults[Team Number],InnovationProjectResults[Identify - Research (CV)])</f>
        <v>0</v>
      </c>
      <c r="D98" s="87">
        <f>_xlfn.XLOOKUP(CoreValuesResults[[#This Row],[Team Number]],InnovationProjectResults[Team Number],InnovationProjectResults[Design - Teamwork (CV)])</f>
        <v>0</v>
      </c>
      <c r="E98" s="87">
        <f>_xlfn.XLOOKUP(CoreValuesResults[[#This Row],[Team Number]],InnovationProjectResults[Team Number],InnovationProjectResults[Create - Innovation (CV)])</f>
        <v>0</v>
      </c>
      <c r="F98" s="87">
        <f>_xlfn.XLOOKUP(CoreValuesResults[[#This Row],[Team Number]],InnovationProjectResults[Team Number],InnovationProjectResults[Communicate - Impact (CV)])</f>
        <v>0</v>
      </c>
      <c r="G98" s="87">
        <f>_xlfn.XLOOKUP(CoreValuesResults[[#This Row],[Team Number]],InnovationProjectResults[Team Number],InnovationProjectResults[Communicate - Fun (CV)])</f>
        <v>0</v>
      </c>
      <c r="H98" s="87">
        <f>_xlfn.XLOOKUP(CoreValuesResults[[#This Row],[Team Number]],RobotDesignResults[Team Number],RobotDesignResults[Identify - Research (CV)])</f>
        <v>0</v>
      </c>
      <c r="I98" s="87">
        <f>_xlfn.XLOOKUP(CoreValuesResults[[#This Row],[Team Number]],RobotDesignResults[Team Number],RobotDesignResults[Design - Ideas (CV)])</f>
        <v>0</v>
      </c>
      <c r="J98" s="87">
        <f>_xlfn.XLOOKUP(CoreValuesResults[[#This Row],[Team Number]],RobotDesignResults[Team Number],RobotDesignResults[Iterate - Improvements (CV)])</f>
        <v>0</v>
      </c>
      <c r="K98" s="87">
        <f>_xlfn.XLOOKUP(CoreValuesResults[[#This Row],[Team Number]],RobotDesignResults[Team Number],RobotDesignResults[Communicate - Impact (CV)])</f>
        <v>0</v>
      </c>
      <c r="L98" s="87">
        <f>_xlfn.XLOOKUP(CoreValuesResults[[#This Row],[Team Number]],RobotDesignResults[Team Number],RobotDesignResults[Communicate - Fun (CV)])</f>
        <v>0</v>
      </c>
      <c r="M98" s="17"/>
      <c r="N98" s="17"/>
      <c r="O98" s="17"/>
      <c r="P98" s="17"/>
      <c r="Q98" s="17"/>
      <c r="R98" s="12"/>
      <c r="S98" s="12"/>
      <c r="T98" s="12"/>
      <c r="U98" s="81">
        <f>SUM(CoreValuesResults[[#This Row],[Discovery (IP)]:[Fun (RD)]],CoreValuesResults[[#This Row],[Gracious Professionalism Score]])</f>
        <v>0</v>
      </c>
      <c r="V98" s="43">
        <f>IF(CoreValuesResults[[#This Row],[Team Number]]&gt;0,MIN(_xlfn.RANK.EQ(CoreValuesResults[[#This Row],[Core Values Score]],CoreValuesResults[Core Values Score],0),NumberOfTeams),NumberOfTeams+1)</f>
        <v>1</v>
      </c>
      <c r="W98" s="82"/>
      <c r="X98" s="82"/>
      <c r="Y98" s="82"/>
    </row>
    <row r="99" spans="1:25" ht="30" customHeight="1" x14ac:dyDescent="0.45">
      <c r="A99" s="12">
        <f>_xlfn.XLOOKUP(98,OfficialTeamList[Row],OfficialTeamList[Team Number],"ERROR",0)</f>
        <v>0</v>
      </c>
      <c r="B99" s="42" t="str">
        <f>_xlfn.XLOOKUP(CoreValuesResults[[#This Row],[Team Number]],OfficialTeamList[Team Number],OfficialTeamList[Team Name],"",0,)</f>
        <v/>
      </c>
      <c r="C99" s="87">
        <f>_xlfn.XLOOKUP(CoreValuesResults[[#This Row],[Team Number]],InnovationProjectResults[Team Number],InnovationProjectResults[Identify - Research (CV)])</f>
        <v>0</v>
      </c>
      <c r="D99" s="87">
        <f>_xlfn.XLOOKUP(CoreValuesResults[[#This Row],[Team Number]],InnovationProjectResults[Team Number],InnovationProjectResults[Design - Teamwork (CV)])</f>
        <v>0</v>
      </c>
      <c r="E99" s="87">
        <f>_xlfn.XLOOKUP(CoreValuesResults[[#This Row],[Team Number]],InnovationProjectResults[Team Number],InnovationProjectResults[Create - Innovation (CV)])</f>
        <v>0</v>
      </c>
      <c r="F99" s="87">
        <f>_xlfn.XLOOKUP(CoreValuesResults[[#This Row],[Team Number]],InnovationProjectResults[Team Number],InnovationProjectResults[Communicate - Impact (CV)])</f>
        <v>0</v>
      </c>
      <c r="G99" s="87">
        <f>_xlfn.XLOOKUP(CoreValuesResults[[#This Row],[Team Number]],InnovationProjectResults[Team Number],InnovationProjectResults[Communicate - Fun (CV)])</f>
        <v>0</v>
      </c>
      <c r="H99" s="87">
        <f>_xlfn.XLOOKUP(CoreValuesResults[[#This Row],[Team Number]],RobotDesignResults[Team Number],RobotDesignResults[Identify - Research (CV)])</f>
        <v>0</v>
      </c>
      <c r="I99" s="87">
        <f>_xlfn.XLOOKUP(CoreValuesResults[[#This Row],[Team Number]],RobotDesignResults[Team Number],RobotDesignResults[Design - Ideas (CV)])</f>
        <v>0</v>
      </c>
      <c r="J99" s="87">
        <f>_xlfn.XLOOKUP(CoreValuesResults[[#This Row],[Team Number]],RobotDesignResults[Team Number],RobotDesignResults[Iterate - Improvements (CV)])</f>
        <v>0</v>
      </c>
      <c r="K99" s="87">
        <f>_xlfn.XLOOKUP(CoreValuesResults[[#This Row],[Team Number]],RobotDesignResults[Team Number],RobotDesignResults[Communicate - Impact (CV)])</f>
        <v>0</v>
      </c>
      <c r="L99" s="87">
        <f>_xlfn.XLOOKUP(CoreValuesResults[[#This Row],[Team Number]],RobotDesignResults[Team Number],RobotDesignResults[Communicate - Fun (CV)])</f>
        <v>0</v>
      </c>
      <c r="M99" s="17"/>
      <c r="N99" s="17"/>
      <c r="O99" s="17"/>
      <c r="P99" s="17"/>
      <c r="Q99" s="17"/>
      <c r="R99" s="12"/>
      <c r="S99" s="12"/>
      <c r="T99" s="12"/>
      <c r="U99" s="81">
        <f>SUM(CoreValuesResults[[#This Row],[Discovery (IP)]:[Fun (RD)]],CoreValuesResults[[#This Row],[Gracious Professionalism Score]])</f>
        <v>0</v>
      </c>
      <c r="V99" s="43">
        <f>IF(CoreValuesResults[[#This Row],[Team Number]]&gt;0,MIN(_xlfn.RANK.EQ(CoreValuesResults[[#This Row],[Core Values Score]],CoreValuesResults[Core Values Score],0),NumberOfTeams),NumberOfTeams+1)</f>
        <v>1</v>
      </c>
      <c r="W99" s="82"/>
      <c r="X99" s="82"/>
      <c r="Y99" s="82"/>
    </row>
    <row r="100" spans="1:25" ht="30" customHeight="1" x14ac:dyDescent="0.45">
      <c r="A100" s="12">
        <f>_xlfn.XLOOKUP(99,OfficialTeamList[Row],OfficialTeamList[Team Number],"ERROR",0)</f>
        <v>0</v>
      </c>
      <c r="B100" s="42" t="str">
        <f>_xlfn.XLOOKUP(CoreValuesResults[[#This Row],[Team Number]],OfficialTeamList[Team Number],OfficialTeamList[Team Name],"",0,)</f>
        <v/>
      </c>
      <c r="C100" s="87">
        <f>_xlfn.XLOOKUP(CoreValuesResults[[#This Row],[Team Number]],InnovationProjectResults[Team Number],InnovationProjectResults[Identify - Research (CV)])</f>
        <v>0</v>
      </c>
      <c r="D100" s="87">
        <f>_xlfn.XLOOKUP(CoreValuesResults[[#This Row],[Team Number]],InnovationProjectResults[Team Number],InnovationProjectResults[Design - Teamwork (CV)])</f>
        <v>0</v>
      </c>
      <c r="E100" s="87">
        <f>_xlfn.XLOOKUP(CoreValuesResults[[#This Row],[Team Number]],InnovationProjectResults[Team Number],InnovationProjectResults[Create - Innovation (CV)])</f>
        <v>0</v>
      </c>
      <c r="F100" s="87">
        <f>_xlfn.XLOOKUP(CoreValuesResults[[#This Row],[Team Number]],InnovationProjectResults[Team Number],InnovationProjectResults[Communicate - Impact (CV)])</f>
        <v>0</v>
      </c>
      <c r="G100" s="87">
        <f>_xlfn.XLOOKUP(CoreValuesResults[[#This Row],[Team Number]],InnovationProjectResults[Team Number],InnovationProjectResults[Communicate - Fun (CV)])</f>
        <v>0</v>
      </c>
      <c r="H100" s="87">
        <f>_xlfn.XLOOKUP(CoreValuesResults[[#This Row],[Team Number]],RobotDesignResults[Team Number],RobotDesignResults[Identify - Research (CV)])</f>
        <v>0</v>
      </c>
      <c r="I100" s="87">
        <f>_xlfn.XLOOKUP(CoreValuesResults[[#This Row],[Team Number]],RobotDesignResults[Team Number],RobotDesignResults[Design - Ideas (CV)])</f>
        <v>0</v>
      </c>
      <c r="J100" s="87">
        <f>_xlfn.XLOOKUP(CoreValuesResults[[#This Row],[Team Number]],RobotDesignResults[Team Number],RobotDesignResults[Iterate - Improvements (CV)])</f>
        <v>0</v>
      </c>
      <c r="K100" s="87">
        <f>_xlfn.XLOOKUP(CoreValuesResults[[#This Row],[Team Number]],RobotDesignResults[Team Number],RobotDesignResults[Communicate - Impact (CV)])</f>
        <v>0</v>
      </c>
      <c r="L100" s="87">
        <f>_xlfn.XLOOKUP(CoreValuesResults[[#This Row],[Team Number]],RobotDesignResults[Team Number],RobotDesignResults[Communicate - Fun (CV)])</f>
        <v>0</v>
      </c>
      <c r="M100" s="17"/>
      <c r="N100" s="17"/>
      <c r="O100" s="17"/>
      <c r="P100" s="17"/>
      <c r="Q100" s="17"/>
      <c r="R100" s="12"/>
      <c r="S100" s="12"/>
      <c r="T100" s="12"/>
      <c r="U100" s="81">
        <f>SUM(CoreValuesResults[[#This Row],[Discovery (IP)]:[Fun (RD)]],CoreValuesResults[[#This Row],[Gracious Professionalism Score]])</f>
        <v>0</v>
      </c>
      <c r="V100" s="43">
        <f>IF(CoreValuesResults[[#This Row],[Team Number]]&gt;0,MIN(_xlfn.RANK.EQ(CoreValuesResults[[#This Row],[Core Values Score]],CoreValuesResults[Core Values Score],0),NumberOfTeams),NumberOfTeams+1)</f>
        <v>1</v>
      </c>
      <c r="W100" s="82"/>
      <c r="X100" s="82"/>
      <c r="Y100" s="82"/>
    </row>
    <row r="101" spans="1:25" ht="30" customHeight="1" x14ac:dyDescent="0.45">
      <c r="A101" s="12">
        <f>_xlfn.XLOOKUP(100,OfficialTeamList[Row],OfficialTeamList[Team Number],"ERROR",0)</f>
        <v>0</v>
      </c>
      <c r="B101" s="42" t="str">
        <f>_xlfn.XLOOKUP(CoreValuesResults[[#This Row],[Team Number]],OfficialTeamList[Team Number],OfficialTeamList[Team Name],"",0,)</f>
        <v/>
      </c>
      <c r="C101" s="87">
        <f>_xlfn.XLOOKUP(CoreValuesResults[[#This Row],[Team Number]],InnovationProjectResults[Team Number],InnovationProjectResults[Identify - Research (CV)])</f>
        <v>0</v>
      </c>
      <c r="D101" s="87">
        <f>_xlfn.XLOOKUP(CoreValuesResults[[#This Row],[Team Number]],InnovationProjectResults[Team Number],InnovationProjectResults[Design - Teamwork (CV)])</f>
        <v>0</v>
      </c>
      <c r="E101" s="87">
        <f>_xlfn.XLOOKUP(CoreValuesResults[[#This Row],[Team Number]],InnovationProjectResults[Team Number],InnovationProjectResults[Create - Innovation (CV)])</f>
        <v>0</v>
      </c>
      <c r="F101" s="87">
        <f>_xlfn.XLOOKUP(CoreValuesResults[[#This Row],[Team Number]],InnovationProjectResults[Team Number],InnovationProjectResults[Communicate - Impact (CV)])</f>
        <v>0</v>
      </c>
      <c r="G101" s="87">
        <f>_xlfn.XLOOKUP(CoreValuesResults[[#This Row],[Team Number]],InnovationProjectResults[Team Number],InnovationProjectResults[Communicate - Fun (CV)])</f>
        <v>0</v>
      </c>
      <c r="H101" s="87">
        <f>_xlfn.XLOOKUP(CoreValuesResults[[#This Row],[Team Number]],RobotDesignResults[Team Number],RobotDesignResults[Identify - Research (CV)])</f>
        <v>0</v>
      </c>
      <c r="I101" s="87">
        <f>_xlfn.XLOOKUP(CoreValuesResults[[#This Row],[Team Number]],RobotDesignResults[Team Number],RobotDesignResults[Design - Ideas (CV)])</f>
        <v>0</v>
      </c>
      <c r="J101" s="87">
        <f>_xlfn.XLOOKUP(CoreValuesResults[[#This Row],[Team Number]],RobotDesignResults[Team Number],RobotDesignResults[Iterate - Improvements (CV)])</f>
        <v>0</v>
      </c>
      <c r="K101" s="87">
        <f>_xlfn.XLOOKUP(CoreValuesResults[[#This Row],[Team Number]],RobotDesignResults[Team Number],RobotDesignResults[Communicate - Impact (CV)])</f>
        <v>0</v>
      </c>
      <c r="L101" s="87">
        <f>_xlfn.XLOOKUP(CoreValuesResults[[#This Row],[Team Number]],RobotDesignResults[Team Number],RobotDesignResults[Communicate - Fun (CV)])</f>
        <v>0</v>
      </c>
      <c r="M101" s="17"/>
      <c r="N101" s="17"/>
      <c r="O101" s="17"/>
      <c r="P101" s="17"/>
      <c r="Q101" s="17"/>
      <c r="R101" s="12"/>
      <c r="S101" s="12"/>
      <c r="T101" s="12"/>
      <c r="U101" s="81">
        <f>SUM(CoreValuesResults[[#This Row],[Discovery (IP)]:[Fun (RD)]],CoreValuesResults[[#This Row],[Gracious Professionalism Score]])</f>
        <v>0</v>
      </c>
      <c r="V101" s="43">
        <f>IF(CoreValuesResults[[#This Row],[Team Number]]&gt;0,MIN(_xlfn.RANK.EQ(CoreValuesResults[[#This Row],[Core Values Score]],CoreValuesResults[Core Values Score],0),NumberOfTeams),NumberOfTeams+1)</f>
        <v>1</v>
      </c>
      <c r="W101" s="82"/>
      <c r="X101" s="82"/>
      <c r="Y101" s="82"/>
    </row>
    <row r="102" spans="1:25" ht="30" customHeight="1" x14ac:dyDescent="0.45">
      <c r="A102" s="12">
        <f>_xlfn.XLOOKUP(101,OfficialTeamList[Row],OfficialTeamList[Team Number],"ERROR",0)</f>
        <v>0</v>
      </c>
      <c r="B102" s="42" t="str">
        <f>_xlfn.XLOOKUP(CoreValuesResults[[#This Row],[Team Number]],OfficialTeamList[Team Number],OfficialTeamList[Team Name],"",0,)</f>
        <v/>
      </c>
      <c r="C102" s="87">
        <f>_xlfn.XLOOKUP(CoreValuesResults[[#This Row],[Team Number]],InnovationProjectResults[Team Number],InnovationProjectResults[Identify - Research (CV)])</f>
        <v>0</v>
      </c>
      <c r="D102" s="87">
        <f>_xlfn.XLOOKUP(CoreValuesResults[[#This Row],[Team Number]],InnovationProjectResults[Team Number],InnovationProjectResults[Design - Teamwork (CV)])</f>
        <v>0</v>
      </c>
      <c r="E102" s="87">
        <f>_xlfn.XLOOKUP(CoreValuesResults[[#This Row],[Team Number]],InnovationProjectResults[Team Number],InnovationProjectResults[Create - Innovation (CV)])</f>
        <v>0</v>
      </c>
      <c r="F102" s="87">
        <f>_xlfn.XLOOKUP(CoreValuesResults[[#This Row],[Team Number]],InnovationProjectResults[Team Number],InnovationProjectResults[Communicate - Impact (CV)])</f>
        <v>0</v>
      </c>
      <c r="G102" s="87">
        <f>_xlfn.XLOOKUP(CoreValuesResults[[#This Row],[Team Number]],InnovationProjectResults[Team Number],InnovationProjectResults[Communicate - Fun (CV)])</f>
        <v>0</v>
      </c>
      <c r="H102" s="87">
        <f>_xlfn.XLOOKUP(CoreValuesResults[[#This Row],[Team Number]],RobotDesignResults[Team Number],RobotDesignResults[Identify - Research (CV)])</f>
        <v>0</v>
      </c>
      <c r="I102" s="87">
        <f>_xlfn.XLOOKUP(CoreValuesResults[[#This Row],[Team Number]],RobotDesignResults[Team Number],RobotDesignResults[Design - Ideas (CV)])</f>
        <v>0</v>
      </c>
      <c r="J102" s="87">
        <f>_xlfn.XLOOKUP(CoreValuesResults[[#This Row],[Team Number]],RobotDesignResults[Team Number],RobotDesignResults[Iterate - Improvements (CV)])</f>
        <v>0</v>
      </c>
      <c r="K102" s="87">
        <f>_xlfn.XLOOKUP(CoreValuesResults[[#This Row],[Team Number]],RobotDesignResults[Team Number],RobotDesignResults[Communicate - Impact (CV)])</f>
        <v>0</v>
      </c>
      <c r="L102" s="87">
        <f>_xlfn.XLOOKUP(CoreValuesResults[[#This Row],[Team Number]],RobotDesignResults[Team Number],RobotDesignResults[Communicate - Fun (CV)])</f>
        <v>0</v>
      </c>
      <c r="M102" s="17"/>
      <c r="N102" s="17"/>
      <c r="O102" s="17"/>
      <c r="P102" s="17"/>
      <c r="Q102" s="17"/>
      <c r="R102" s="12"/>
      <c r="S102" s="12"/>
      <c r="T102" s="12"/>
      <c r="U102" s="81">
        <f>SUM(CoreValuesResults[[#This Row],[Discovery (IP)]:[Fun (RD)]],CoreValuesResults[[#This Row],[Gracious Professionalism Score]])</f>
        <v>0</v>
      </c>
      <c r="V102" s="43">
        <f>IF(CoreValuesResults[[#This Row],[Team Number]]&gt;0,MIN(_xlfn.RANK.EQ(CoreValuesResults[[#This Row],[Core Values Score]],CoreValuesResults[Core Values Score],0),NumberOfTeams),NumberOfTeams+1)</f>
        <v>1</v>
      </c>
      <c r="W102" s="82"/>
      <c r="X102" s="82"/>
      <c r="Y102" s="82"/>
    </row>
    <row r="103" spans="1:25" ht="30" customHeight="1" x14ac:dyDescent="0.45">
      <c r="A103" s="12">
        <f>_xlfn.XLOOKUP(102,OfficialTeamList[Row],OfficialTeamList[Team Number],"ERROR",0)</f>
        <v>0</v>
      </c>
      <c r="B103" s="42" t="str">
        <f>_xlfn.XLOOKUP(CoreValuesResults[[#This Row],[Team Number]],OfficialTeamList[Team Number],OfficialTeamList[Team Name],"",0,)</f>
        <v/>
      </c>
      <c r="C103" s="87">
        <f>_xlfn.XLOOKUP(CoreValuesResults[[#This Row],[Team Number]],InnovationProjectResults[Team Number],InnovationProjectResults[Identify - Research (CV)])</f>
        <v>0</v>
      </c>
      <c r="D103" s="87">
        <f>_xlfn.XLOOKUP(CoreValuesResults[[#This Row],[Team Number]],InnovationProjectResults[Team Number],InnovationProjectResults[Design - Teamwork (CV)])</f>
        <v>0</v>
      </c>
      <c r="E103" s="87">
        <f>_xlfn.XLOOKUP(CoreValuesResults[[#This Row],[Team Number]],InnovationProjectResults[Team Number],InnovationProjectResults[Create - Innovation (CV)])</f>
        <v>0</v>
      </c>
      <c r="F103" s="87">
        <f>_xlfn.XLOOKUP(CoreValuesResults[[#This Row],[Team Number]],InnovationProjectResults[Team Number],InnovationProjectResults[Communicate - Impact (CV)])</f>
        <v>0</v>
      </c>
      <c r="G103" s="87">
        <f>_xlfn.XLOOKUP(CoreValuesResults[[#This Row],[Team Number]],InnovationProjectResults[Team Number],InnovationProjectResults[Communicate - Fun (CV)])</f>
        <v>0</v>
      </c>
      <c r="H103" s="87">
        <f>_xlfn.XLOOKUP(CoreValuesResults[[#This Row],[Team Number]],RobotDesignResults[Team Number],RobotDesignResults[Identify - Research (CV)])</f>
        <v>0</v>
      </c>
      <c r="I103" s="87">
        <f>_xlfn.XLOOKUP(CoreValuesResults[[#This Row],[Team Number]],RobotDesignResults[Team Number],RobotDesignResults[Design - Ideas (CV)])</f>
        <v>0</v>
      </c>
      <c r="J103" s="87">
        <f>_xlfn.XLOOKUP(CoreValuesResults[[#This Row],[Team Number]],RobotDesignResults[Team Number],RobotDesignResults[Iterate - Improvements (CV)])</f>
        <v>0</v>
      </c>
      <c r="K103" s="87">
        <f>_xlfn.XLOOKUP(CoreValuesResults[[#This Row],[Team Number]],RobotDesignResults[Team Number],RobotDesignResults[Communicate - Impact (CV)])</f>
        <v>0</v>
      </c>
      <c r="L103" s="87">
        <f>_xlfn.XLOOKUP(CoreValuesResults[[#This Row],[Team Number]],RobotDesignResults[Team Number],RobotDesignResults[Communicate - Fun (CV)])</f>
        <v>0</v>
      </c>
      <c r="M103" s="17"/>
      <c r="N103" s="17"/>
      <c r="O103" s="17"/>
      <c r="P103" s="17"/>
      <c r="Q103" s="17"/>
      <c r="R103" s="12"/>
      <c r="S103" s="12"/>
      <c r="T103" s="12"/>
      <c r="U103" s="81">
        <f>SUM(CoreValuesResults[[#This Row],[Discovery (IP)]:[Fun (RD)]],CoreValuesResults[[#This Row],[Gracious Professionalism Score]])</f>
        <v>0</v>
      </c>
      <c r="V103" s="43">
        <f>IF(CoreValuesResults[[#This Row],[Team Number]]&gt;0,MIN(_xlfn.RANK.EQ(CoreValuesResults[[#This Row],[Core Values Score]],CoreValuesResults[Core Values Score],0),NumberOfTeams),NumberOfTeams+1)</f>
        <v>1</v>
      </c>
      <c r="W103" s="82"/>
      <c r="X103" s="82"/>
      <c r="Y103" s="82"/>
    </row>
    <row r="104" spans="1:25" ht="30" customHeight="1" x14ac:dyDescent="0.45">
      <c r="A104" s="12">
        <f>_xlfn.XLOOKUP(103,OfficialTeamList[Row],OfficialTeamList[Team Number],"ERROR",0)</f>
        <v>0</v>
      </c>
      <c r="B104" s="42" t="str">
        <f>_xlfn.XLOOKUP(CoreValuesResults[[#This Row],[Team Number]],OfficialTeamList[Team Number],OfficialTeamList[Team Name],"",0,)</f>
        <v/>
      </c>
      <c r="C104" s="87">
        <f>_xlfn.XLOOKUP(CoreValuesResults[[#This Row],[Team Number]],InnovationProjectResults[Team Number],InnovationProjectResults[Identify - Research (CV)])</f>
        <v>0</v>
      </c>
      <c r="D104" s="87">
        <f>_xlfn.XLOOKUP(CoreValuesResults[[#This Row],[Team Number]],InnovationProjectResults[Team Number],InnovationProjectResults[Design - Teamwork (CV)])</f>
        <v>0</v>
      </c>
      <c r="E104" s="87">
        <f>_xlfn.XLOOKUP(CoreValuesResults[[#This Row],[Team Number]],InnovationProjectResults[Team Number],InnovationProjectResults[Create - Innovation (CV)])</f>
        <v>0</v>
      </c>
      <c r="F104" s="87">
        <f>_xlfn.XLOOKUP(CoreValuesResults[[#This Row],[Team Number]],InnovationProjectResults[Team Number],InnovationProjectResults[Communicate - Impact (CV)])</f>
        <v>0</v>
      </c>
      <c r="G104" s="87">
        <f>_xlfn.XLOOKUP(CoreValuesResults[[#This Row],[Team Number]],InnovationProjectResults[Team Number],InnovationProjectResults[Communicate - Fun (CV)])</f>
        <v>0</v>
      </c>
      <c r="H104" s="87">
        <f>_xlfn.XLOOKUP(CoreValuesResults[[#This Row],[Team Number]],RobotDesignResults[Team Number],RobotDesignResults[Identify - Research (CV)])</f>
        <v>0</v>
      </c>
      <c r="I104" s="87">
        <f>_xlfn.XLOOKUP(CoreValuesResults[[#This Row],[Team Number]],RobotDesignResults[Team Number],RobotDesignResults[Design - Ideas (CV)])</f>
        <v>0</v>
      </c>
      <c r="J104" s="87">
        <f>_xlfn.XLOOKUP(CoreValuesResults[[#This Row],[Team Number]],RobotDesignResults[Team Number],RobotDesignResults[Iterate - Improvements (CV)])</f>
        <v>0</v>
      </c>
      <c r="K104" s="87">
        <f>_xlfn.XLOOKUP(CoreValuesResults[[#This Row],[Team Number]],RobotDesignResults[Team Number],RobotDesignResults[Communicate - Impact (CV)])</f>
        <v>0</v>
      </c>
      <c r="L104" s="87">
        <f>_xlfn.XLOOKUP(CoreValuesResults[[#This Row],[Team Number]],RobotDesignResults[Team Number],RobotDesignResults[Communicate - Fun (CV)])</f>
        <v>0</v>
      </c>
      <c r="M104" s="17"/>
      <c r="N104" s="17"/>
      <c r="O104" s="17"/>
      <c r="P104" s="17"/>
      <c r="Q104" s="17"/>
      <c r="R104" s="12"/>
      <c r="S104" s="12"/>
      <c r="T104" s="12"/>
      <c r="U104" s="81">
        <f>SUM(CoreValuesResults[[#This Row],[Discovery (IP)]:[Fun (RD)]],CoreValuesResults[[#This Row],[Gracious Professionalism Score]])</f>
        <v>0</v>
      </c>
      <c r="V104" s="43">
        <f>IF(CoreValuesResults[[#This Row],[Team Number]]&gt;0,MIN(_xlfn.RANK.EQ(CoreValuesResults[[#This Row],[Core Values Score]],CoreValuesResults[Core Values Score],0),NumberOfTeams),NumberOfTeams+1)</f>
        <v>1</v>
      </c>
      <c r="W104" s="82"/>
      <c r="X104" s="82"/>
      <c r="Y104" s="82"/>
    </row>
    <row r="105" spans="1:25" ht="30" customHeight="1" x14ac:dyDescent="0.45">
      <c r="A105" s="12">
        <f>_xlfn.XLOOKUP(104,OfficialTeamList[Row],OfficialTeamList[Team Number],"ERROR",0)</f>
        <v>0</v>
      </c>
      <c r="B105" s="42" t="str">
        <f>_xlfn.XLOOKUP(CoreValuesResults[[#This Row],[Team Number]],OfficialTeamList[Team Number],OfficialTeamList[Team Name],"",0,)</f>
        <v/>
      </c>
      <c r="C105" s="87">
        <f>_xlfn.XLOOKUP(CoreValuesResults[[#This Row],[Team Number]],InnovationProjectResults[Team Number],InnovationProjectResults[Identify - Research (CV)])</f>
        <v>0</v>
      </c>
      <c r="D105" s="87">
        <f>_xlfn.XLOOKUP(CoreValuesResults[[#This Row],[Team Number]],InnovationProjectResults[Team Number],InnovationProjectResults[Design - Teamwork (CV)])</f>
        <v>0</v>
      </c>
      <c r="E105" s="87">
        <f>_xlfn.XLOOKUP(CoreValuesResults[[#This Row],[Team Number]],InnovationProjectResults[Team Number],InnovationProjectResults[Create - Innovation (CV)])</f>
        <v>0</v>
      </c>
      <c r="F105" s="87">
        <f>_xlfn.XLOOKUP(CoreValuesResults[[#This Row],[Team Number]],InnovationProjectResults[Team Number],InnovationProjectResults[Communicate - Impact (CV)])</f>
        <v>0</v>
      </c>
      <c r="G105" s="87">
        <f>_xlfn.XLOOKUP(CoreValuesResults[[#This Row],[Team Number]],InnovationProjectResults[Team Number],InnovationProjectResults[Communicate - Fun (CV)])</f>
        <v>0</v>
      </c>
      <c r="H105" s="87">
        <f>_xlfn.XLOOKUP(CoreValuesResults[[#This Row],[Team Number]],RobotDesignResults[Team Number],RobotDesignResults[Identify - Research (CV)])</f>
        <v>0</v>
      </c>
      <c r="I105" s="87">
        <f>_xlfn.XLOOKUP(CoreValuesResults[[#This Row],[Team Number]],RobotDesignResults[Team Number],RobotDesignResults[Design - Ideas (CV)])</f>
        <v>0</v>
      </c>
      <c r="J105" s="87">
        <f>_xlfn.XLOOKUP(CoreValuesResults[[#This Row],[Team Number]],RobotDesignResults[Team Number],RobotDesignResults[Iterate - Improvements (CV)])</f>
        <v>0</v>
      </c>
      <c r="K105" s="87">
        <f>_xlfn.XLOOKUP(CoreValuesResults[[#This Row],[Team Number]],RobotDesignResults[Team Number],RobotDesignResults[Communicate - Impact (CV)])</f>
        <v>0</v>
      </c>
      <c r="L105" s="87">
        <f>_xlfn.XLOOKUP(CoreValuesResults[[#This Row],[Team Number]],RobotDesignResults[Team Number],RobotDesignResults[Communicate - Fun (CV)])</f>
        <v>0</v>
      </c>
      <c r="M105" s="17"/>
      <c r="N105" s="17"/>
      <c r="O105" s="17"/>
      <c r="P105" s="17"/>
      <c r="Q105" s="17"/>
      <c r="R105" s="12"/>
      <c r="S105" s="12"/>
      <c r="T105" s="12"/>
      <c r="U105" s="81">
        <f>SUM(CoreValuesResults[[#This Row],[Discovery (IP)]:[Fun (RD)]],CoreValuesResults[[#This Row],[Gracious Professionalism Score]])</f>
        <v>0</v>
      </c>
      <c r="V105" s="43">
        <f>IF(CoreValuesResults[[#This Row],[Team Number]]&gt;0,MIN(_xlfn.RANK.EQ(CoreValuesResults[[#This Row],[Core Values Score]],CoreValuesResults[Core Values Score],0),NumberOfTeams),NumberOfTeams+1)</f>
        <v>1</v>
      </c>
      <c r="W105" s="82"/>
      <c r="X105" s="82"/>
      <c r="Y105" s="82"/>
    </row>
    <row r="106" spans="1:25" ht="30" customHeight="1" x14ac:dyDescent="0.45">
      <c r="A106" s="12">
        <f>_xlfn.XLOOKUP(105,OfficialTeamList[Row],OfficialTeamList[Team Number],"ERROR",0)</f>
        <v>0</v>
      </c>
      <c r="B106" s="42" t="str">
        <f>_xlfn.XLOOKUP(CoreValuesResults[[#This Row],[Team Number]],OfficialTeamList[Team Number],OfficialTeamList[Team Name],"",0,)</f>
        <v/>
      </c>
      <c r="C106" s="87">
        <f>_xlfn.XLOOKUP(CoreValuesResults[[#This Row],[Team Number]],InnovationProjectResults[Team Number],InnovationProjectResults[Identify - Research (CV)])</f>
        <v>0</v>
      </c>
      <c r="D106" s="87">
        <f>_xlfn.XLOOKUP(CoreValuesResults[[#This Row],[Team Number]],InnovationProjectResults[Team Number],InnovationProjectResults[Design - Teamwork (CV)])</f>
        <v>0</v>
      </c>
      <c r="E106" s="87">
        <f>_xlfn.XLOOKUP(CoreValuesResults[[#This Row],[Team Number]],InnovationProjectResults[Team Number],InnovationProjectResults[Create - Innovation (CV)])</f>
        <v>0</v>
      </c>
      <c r="F106" s="87">
        <f>_xlfn.XLOOKUP(CoreValuesResults[[#This Row],[Team Number]],InnovationProjectResults[Team Number],InnovationProjectResults[Communicate - Impact (CV)])</f>
        <v>0</v>
      </c>
      <c r="G106" s="87">
        <f>_xlfn.XLOOKUP(CoreValuesResults[[#This Row],[Team Number]],InnovationProjectResults[Team Number],InnovationProjectResults[Communicate - Fun (CV)])</f>
        <v>0</v>
      </c>
      <c r="H106" s="87">
        <f>_xlfn.XLOOKUP(CoreValuesResults[[#This Row],[Team Number]],RobotDesignResults[Team Number],RobotDesignResults[Identify - Research (CV)])</f>
        <v>0</v>
      </c>
      <c r="I106" s="87">
        <f>_xlfn.XLOOKUP(CoreValuesResults[[#This Row],[Team Number]],RobotDesignResults[Team Number],RobotDesignResults[Design - Ideas (CV)])</f>
        <v>0</v>
      </c>
      <c r="J106" s="87">
        <f>_xlfn.XLOOKUP(CoreValuesResults[[#This Row],[Team Number]],RobotDesignResults[Team Number],RobotDesignResults[Iterate - Improvements (CV)])</f>
        <v>0</v>
      </c>
      <c r="K106" s="87">
        <f>_xlfn.XLOOKUP(CoreValuesResults[[#This Row],[Team Number]],RobotDesignResults[Team Number],RobotDesignResults[Communicate - Impact (CV)])</f>
        <v>0</v>
      </c>
      <c r="L106" s="87">
        <f>_xlfn.XLOOKUP(CoreValuesResults[[#This Row],[Team Number]],RobotDesignResults[Team Number],RobotDesignResults[Communicate - Fun (CV)])</f>
        <v>0</v>
      </c>
      <c r="M106" s="17"/>
      <c r="N106" s="17"/>
      <c r="O106" s="17"/>
      <c r="P106" s="17"/>
      <c r="Q106" s="17"/>
      <c r="R106" s="12"/>
      <c r="S106" s="12"/>
      <c r="T106" s="12"/>
      <c r="U106" s="81">
        <f>SUM(CoreValuesResults[[#This Row],[Discovery (IP)]:[Fun (RD)]],CoreValuesResults[[#This Row],[Gracious Professionalism Score]])</f>
        <v>0</v>
      </c>
      <c r="V106" s="43">
        <f>IF(CoreValuesResults[[#This Row],[Team Number]]&gt;0,MIN(_xlfn.RANK.EQ(CoreValuesResults[[#This Row],[Core Values Score]],CoreValuesResults[Core Values Score],0),NumberOfTeams),NumberOfTeams+1)</f>
        <v>1</v>
      </c>
      <c r="W106" s="82"/>
      <c r="X106" s="82"/>
      <c r="Y106" s="82"/>
    </row>
    <row r="107" spans="1:25" ht="30" customHeight="1" x14ac:dyDescent="0.45">
      <c r="A107" s="12">
        <f>_xlfn.XLOOKUP(106,OfficialTeamList[Row],OfficialTeamList[Team Number],"ERROR",0)</f>
        <v>0</v>
      </c>
      <c r="B107" s="42" t="str">
        <f>_xlfn.XLOOKUP(CoreValuesResults[[#This Row],[Team Number]],OfficialTeamList[Team Number],OfficialTeamList[Team Name],"",0,)</f>
        <v/>
      </c>
      <c r="C107" s="87">
        <f>_xlfn.XLOOKUP(CoreValuesResults[[#This Row],[Team Number]],InnovationProjectResults[Team Number],InnovationProjectResults[Identify - Research (CV)])</f>
        <v>0</v>
      </c>
      <c r="D107" s="87">
        <f>_xlfn.XLOOKUP(CoreValuesResults[[#This Row],[Team Number]],InnovationProjectResults[Team Number],InnovationProjectResults[Design - Teamwork (CV)])</f>
        <v>0</v>
      </c>
      <c r="E107" s="87">
        <f>_xlfn.XLOOKUP(CoreValuesResults[[#This Row],[Team Number]],InnovationProjectResults[Team Number],InnovationProjectResults[Create - Innovation (CV)])</f>
        <v>0</v>
      </c>
      <c r="F107" s="87">
        <f>_xlfn.XLOOKUP(CoreValuesResults[[#This Row],[Team Number]],InnovationProjectResults[Team Number],InnovationProjectResults[Communicate - Impact (CV)])</f>
        <v>0</v>
      </c>
      <c r="G107" s="87">
        <f>_xlfn.XLOOKUP(CoreValuesResults[[#This Row],[Team Number]],InnovationProjectResults[Team Number],InnovationProjectResults[Communicate - Fun (CV)])</f>
        <v>0</v>
      </c>
      <c r="H107" s="87">
        <f>_xlfn.XLOOKUP(CoreValuesResults[[#This Row],[Team Number]],RobotDesignResults[Team Number],RobotDesignResults[Identify - Research (CV)])</f>
        <v>0</v>
      </c>
      <c r="I107" s="87">
        <f>_xlfn.XLOOKUP(CoreValuesResults[[#This Row],[Team Number]],RobotDesignResults[Team Number],RobotDesignResults[Design - Ideas (CV)])</f>
        <v>0</v>
      </c>
      <c r="J107" s="87">
        <f>_xlfn.XLOOKUP(CoreValuesResults[[#This Row],[Team Number]],RobotDesignResults[Team Number],RobotDesignResults[Iterate - Improvements (CV)])</f>
        <v>0</v>
      </c>
      <c r="K107" s="87">
        <f>_xlfn.XLOOKUP(CoreValuesResults[[#This Row],[Team Number]],RobotDesignResults[Team Number],RobotDesignResults[Communicate - Impact (CV)])</f>
        <v>0</v>
      </c>
      <c r="L107" s="87">
        <f>_xlfn.XLOOKUP(CoreValuesResults[[#This Row],[Team Number]],RobotDesignResults[Team Number],RobotDesignResults[Communicate - Fun (CV)])</f>
        <v>0</v>
      </c>
      <c r="M107" s="17"/>
      <c r="N107" s="17"/>
      <c r="O107" s="17"/>
      <c r="P107" s="17"/>
      <c r="Q107" s="17"/>
      <c r="R107" s="12"/>
      <c r="S107" s="12"/>
      <c r="T107" s="12"/>
      <c r="U107" s="81">
        <f>SUM(CoreValuesResults[[#This Row],[Discovery (IP)]:[Fun (RD)]],CoreValuesResults[[#This Row],[Gracious Professionalism Score]])</f>
        <v>0</v>
      </c>
      <c r="V107" s="43">
        <f>IF(CoreValuesResults[[#This Row],[Team Number]]&gt;0,MIN(_xlfn.RANK.EQ(CoreValuesResults[[#This Row],[Core Values Score]],CoreValuesResults[Core Values Score],0),NumberOfTeams),NumberOfTeams+1)</f>
        <v>1</v>
      </c>
      <c r="W107" s="82"/>
      <c r="X107" s="82"/>
      <c r="Y107" s="82"/>
    </row>
    <row r="108" spans="1:25" ht="30" customHeight="1" x14ac:dyDescent="0.45">
      <c r="A108" s="12">
        <f>_xlfn.XLOOKUP(107,OfficialTeamList[Row],OfficialTeamList[Team Number],"ERROR",0)</f>
        <v>0</v>
      </c>
      <c r="B108" s="42" t="str">
        <f>_xlfn.XLOOKUP(CoreValuesResults[[#This Row],[Team Number]],OfficialTeamList[Team Number],OfficialTeamList[Team Name],"",0,)</f>
        <v/>
      </c>
      <c r="C108" s="87">
        <f>_xlfn.XLOOKUP(CoreValuesResults[[#This Row],[Team Number]],InnovationProjectResults[Team Number],InnovationProjectResults[Identify - Research (CV)])</f>
        <v>0</v>
      </c>
      <c r="D108" s="87">
        <f>_xlfn.XLOOKUP(CoreValuesResults[[#This Row],[Team Number]],InnovationProjectResults[Team Number],InnovationProjectResults[Design - Teamwork (CV)])</f>
        <v>0</v>
      </c>
      <c r="E108" s="87">
        <f>_xlfn.XLOOKUP(CoreValuesResults[[#This Row],[Team Number]],InnovationProjectResults[Team Number],InnovationProjectResults[Create - Innovation (CV)])</f>
        <v>0</v>
      </c>
      <c r="F108" s="87">
        <f>_xlfn.XLOOKUP(CoreValuesResults[[#This Row],[Team Number]],InnovationProjectResults[Team Number],InnovationProjectResults[Communicate - Impact (CV)])</f>
        <v>0</v>
      </c>
      <c r="G108" s="87">
        <f>_xlfn.XLOOKUP(CoreValuesResults[[#This Row],[Team Number]],InnovationProjectResults[Team Number],InnovationProjectResults[Communicate - Fun (CV)])</f>
        <v>0</v>
      </c>
      <c r="H108" s="87">
        <f>_xlfn.XLOOKUP(CoreValuesResults[[#This Row],[Team Number]],RobotDesignResults[Team Number],RobotDesignResults[Identify - Research (CV)])</f>
        <v>0</v>
      </c>
      <c r="I108" s="87">
        <f>_xlfn.XLOOKUP(CoreValuesResults[[#This Row],[Team Number]],RobotDesignResults[Team Number],RobotDesignResults[Design - Ideas (CV)])</f>
        <v>0</v>
      </c>
      <c r="J108" s="87">
        <f>_xlfn.XLOOKUP(CoreValuesResults[[#This Row],[Team Number]],RobotDesignResults[Team Number],RobotDesignResults[Iterate - Improvements (CV)])</f>
        <v>0</v>
      </c>
      <c r="K108" s="87">
        <f>_xlfn.XLOOKUP(CoreValuesResults[[#This Row],[Team Number]],RobotDesignResults[Team Number],RobotDesignResults[Communicate - Impact (CV)])</f>
        <v>0</v>
      </c>
      <c r="L108" s="87">
        <f>_xlfn.XLOOKUP(CoreValuesResults[[#This Row],[Team Number]],RobotDesignResults[Team Number],RobotDesignResults[Communicate - Fun (CV)])</f>
        <v>0</v>
      </c>
      <c r="M108" s="17"/>
      <c r="N108" s="17"/>
      <c r="O108" s="17"/>
      <c r="P108" s="17"/>
      <c r="Q108" s="17"/>
      <c r="R108" s="12"/>
      <c r="S108" s="12"/>
      <c r="T108" s="12"/>
      <c r="U108" s="81">
        <f>SUM(CoreValuesResults[[#This Row],[Discovery (IP)]:[Fun (RD)]],CoreValuesResults[[#This Row],[Gracious Professionalism Score]])</f>
        <v>0</v>
      </c>
      <c r="V108" s="43">
        <f>IF(CoreValuesResults[[#This Row],[Team Number]]&gt;0,MIN(_xlfn.RANK.EQ(CoreValuesResults[[#This Row],[Core Values Score]],CoreValuesResults[Core Values Score],0),NumberOfTeams),NumberOfTeams+1)</f>
        <v>1</v>
      </c>
      <c r="W108" s="82"/>
      <c r="X108" s="82"/>
      <c r="Y108" s="82"/>
    </row>
    <row r="109" spans="1:25" ht="30" customHeight="1" x14ac:dyDescent="0.45">
      <c r="A109" s="12">
        <f>_xlfn.XLOOKUP(108,OfficialTeamList[Row],OfficialTeamList[Team Number],"ERROR",0)</f>
        <v>0</v>
      </c>
      <c r="B109" s="42" t="str">
        <f>_xlfn.XLOOKUP(CoreValuesResults[[#This Row],[Team Number]],OfficialTeamList[Team Number],OfficialTeamList[Team Name],"",0,)</f>
        <v/>
      </c>
      <c r="C109" s="87">
        <f>_xlfn.XLOOKUP(CoreValuesResults[[#This Row],[Team Number]],InnovationProjectResults[Team Number],InnovationProjectResults[Identify - Research (CV)])</f>
        <v>0</v>
      </c>
      <c r="D109" s="87">
        <f>_xlfn.XLOOKUP(CoreValuesResults[[#This Row],[Team Number]],InnovationProjectResults[Team Number],InnovationProjectResults[Design - Teamwork (CV)])</f>
        <v>0</v>
      </c>
      <c r="E109" s="87">
        <f>_xlfn.XLOOKUP(CoreValuesResults[[#This Row],[Team Number]],InnovationProjectResults[Team Number],InnovationProjectResults[Create - Innovation (CV)])</f>
        <v>0</v>
      </c>
      <c r="F109" s="87">
        <f>_xlfn.XLOOKUP(CoreValuesResults[[#This Row],[Team Number]],InnovationProjectResults[Team Number],InnovationProjectResults[Communicate - Impact (CV)])</f>
        <v>0</v>
      </c>
      <c r="G109" s="87">
        <f>_xlfn.XLOOKUP(CoreValuesResults[[#This Row],[Team Number]],InnovationProjectResults[Team Number],InnovationProjectResults[Communicate - Fun (CV)])</f>
        <v>0</v>
      </c>
      <c r="H109" s="87">
        <f>_xlfn.XLOOKUP(CoreValuesResults[[#This Row],[Team Number]],RobotDesignResults[Team Number],RobotDesignResults[Identify - Research (CV)])</f>
        <v>0</v>
      </c>
      <c r="I109" s="87">
        <f>_xlfn.XLOOKUP(CoreValuesResults[[#This Row],[Team Number]],RobotDesignResults[Team Number],RobotDesignResults[Design - Ideas (CV)])</f>
        <v>0</v>
      </c>
      <c r="J109" s="87">
        <f>_xlfn.XLOOKUP(CoreValuesResults[[#This Row],[Team Number]],RobotDesignResults[Team Number],RobotDesignResults[Iterate - Improvements (CV)])</f>
        <v>0</v>
      </c>
      <c r="K109" s="87">
        <f>_xlfn.XLOOKUP(CoreValuesResults[[#This Row],[Team Number]],RobotDesignResults[Team Number],RobotDesignResults[Communicate - Impact (CV)])</f>
        <v>0</v>
      </c>
      <c r="L109" s="87">
        <f>_xlfn.XLOOKUP(CoreValuesResults[[#This Row],[Team Number]],RobotDesignResults[Team Number],RobotDesignResults[Communicate - Fun (CV)])</f>
        <v>0</v>
      </c>
      <c r="M109" s="17"/>
      <c r="N109" s="17"/>
      <c r="O109" s="17"/>
      <c r="P109" s="17"/>
      <c r="Q109" s="17"/>
      <c r="R109" s="12"/>
      <c r="S109" s="12"/>
      <c r="T109" s="12"/>
      <c r="U109" s="81">
        <f>SUM(CoreValuesResults[[#This Row],[Discovery (IP)]:[Fun (RD)]],CoreValuesResults[[#This Row],[Gracious Professionalism Score]])</f>
        <v>0</v>
      </c>
      <c r="V109" s="43">
        <f>IF(CoreValuesResults[[#This Row],[Team Number]]&gt;0,MIN(_xlfn.RANK.EQ(CoreValuesResults[[#This Row],[Core Values Score]],CoreValuesResults[Core Values Score],0),NumberOfTeams),NumberOfTeams+1)</f>
        <v>1</v>
      </c>
      <c r="W109" s="82"/>
      <c r="X109" s="82"/>
      <c r="Y109" s="82"/>
    </row>
    <row r="110" spans="1:25" ht="30" customHeight="1" x14ac:dyDescent="0.45">
      <c r="A110" s="12">
        <f>_xlfn.XLOOKUP(109,OfficialTeamList[Row],OfficialTeamList[Team Number],"ERROR",0)</f>
        <v>0</v>
      </c>
      <c r="B110" s="42" t="str">
        <f>_xlfn.XLOOKUP(CoreValuesResults[[#This Row],[Team Number]],OfficialTeamList[Team Number],OfficialTeamList[Team Name],"",0,)</f>
        <v/>
      </c>
      <c r="C110" s="87">
        <f>_xlfn.XLOOKUP(CoreValuesResults[[#This Row],[Team Number]],InnovationProjectResults[Team Number],InnovationProjectResults[Identify - Research (CV)])</f>
        <v>0</v>
      </c>
      <c r="D110" s="87">
        <f>_xlfn.XLOOKUP(CoreValuesResults[[#This Row],[Team Number]],InnovationProjectResults[Team Number],InnovationProjectResults[Design - Teamwork (CV)])</f>
        <v>0</v>
      </c>
      <c r="E110" s="87">
        <f>_xlfn.XLOOKUP(CoreValuesResults[[#This Row],[Team Number]],InnovationProjectResults[Team Number],InnovationProjectResults[Create - Innovation (CV)])</f>
        <v>0</v>
      </c>
      <c r="F110" s="87">
        <f>_xlfn.XLOOKUP(CoreValuesResults[[#This Row],[Team Number]],InnovationProjectResults[Team Number],InnovationProjectResults[Communicate - Impact (CV)])</f>
        <v>0</v>
      </c>
      <c r="G110" s="87">
        <f>_xlfn.XLOOKUP(CoreValuesResults[[#This Row],[Team Number]],InnovationProjectResults[Team Number],InnovationProjectResults[Communicate - Fun (CV)])</f>
        <v>0</v>
      </c>
      <c r="H110" s="87">
        <f>_xlfn.XLOOKUP(CoreValuesResults[[#This Row],[Team Number]],RobotDesignResults[Team Number],RobotDesignResults[Identify - Research (CV)])</f>
        <v>0</v>
      </c>
      <c r="I110" s="87">
        <f>_xlfn.XLOOKUP(CoreValuesResults[[#This Row],[Team Number]],RobotDesignResults[Team Number],RobotDesignResults[Design - Ideas (CV)])</f>
        <v>0</v>
      </c>
      <c r="J110" s="87">
        <f>_xlfn.XLOOKUP(CoreValuesResults[[#This Row],[Team Number]],RobotDesignResults[Team Number],RobotDesignResults[Iterate - Improvements (CV)])</f>
        <v>0</v>
      </c>
      <c r="K110" s="87">
        <f>_xlfn.XLOOKUP(CoreValuesResults[[#This Row],[Team Number]],RobotDesignResults[Team Number],RobotDesignResults[Communicate - Impact (CV)])</f>
        <v>0</v>
      </c>
      <c r="L110" s="87">
        <f>_xlfn.XLOOKUP(CoreValuesResults[[#This Row],[Team Number]],RobotDesignResults[Team Number],RobotDesignResults[Communicate - Fun (CV)])</f>
        <v>0</v>
      </c>
      <c r="M110" s="17"/>
      <c r="N110" s="17"/>
      <c r="O110" s="17"/>
      <c r="P110" s="17"/>
      <c r="Q110" s="17"/>
      <c r="R110" s="12"/>
      <c r="S110" s="12"/>
      <c r="T110" s="12"/>
      <c r="U110" s="83">
        <f>SUM(CoreValuesResults[[#This Row],[Discovery (IP)]:[Fun (RD)]],CoreValuesResults[[#This Row],[Gracious Professionalism Score]])</f>
        <v>0</v>
      </c>
      <c r="V110" s="43">
        <f>IF(CoreValuesResults[[#This Row],[Team Number]]&gt;0,MIN(_xlfn.RANK.EQ(CoreValuesResults[[#This Row],[Core Values Score]],CoreValuesResults[Core Values Score],0),NumberOfTeams),NumberOfTeams+1)</f>
        <v>1</v>
      </c>
      <c r="W110" s="82"/>
      <c r="X110" s="82"/>
      <c r="Y110" s="82"/>
    </row>
    <row r="111" spans="1:25" ht="30" customHeight="1" x14ac:dyDescent="0.45">
      <c r="A111" s="12">
        <f>_xlfn.XLOOKUP(110,OfficialTeamList[Row],OfficialTeamList[Team Number],"ERROR",0)</f>
        <v>0</v>
      </c>
      <c r="B111" s="42" t="str">
        <f>_xlfn.XLOOKUP(CoreValuesResults[[#This Row],[Team Number]],OfficialTeamList[Team Number],OfficialTeamList[Team Name],"",0,)</f>
        <v/>
      </c>
      <c r="C111" s="87">
        <f>_xlfn.XLOOKUP(CoreValuesResults[[#This Row],[Team Number]],InnovationProjectResults[Team Number],InnovationProjectResults[Identify - Research (CV)])</f>
        <v>0</v>
      </c>
      <c r="D111" s="87">
        <f>_xlfn.XLOOKUP(CoreValuesResults[[#This Row],[Team Number]],InnovationProjectResults[Team Number],InnovationProjectResults[Design - Teamwork (CV)])</f>
        <v>0</v>
      </c>
      <c r="E111" s="87">
        <f>_xlfn.XLOOKUP(CoreValuesResults[[#This Row],[Team Number]],InnovationProjectResults[Team Number],InnovationProjectResults[Create - Innovation (CV)])</f>
        <v>0</v>
      </c>
      <c r="F111" s="87">
        <f>_xlfn.XLOOKUP(CoreValuesResults[[#This Row],[Team Number]],InnovationProjectResults[Team Number],InnovationProjectResults[Communicate - Impact (CV)])</f>
        <v>0</v>
      </c>
      <c r="G111" s="87">
        <f>_xlfn.XLOOKUP(CoreValuesResults[[#This Row],[Team Number]],InnovationProjectResults[Team Number],InnovationProjectResults[Communicate - Fun (CV)])</f>
        <v>0</v>
      </c>
      <c r="H111" s="87">
        <f>_xlfn.XLOOKUP(CoreValuesResults[[#This Row],[Team Number]],RobotDesignResults[Team Number],RobotDesignResults[Identify - Research (CV)])</f>
        <v>0</v>
      </c>
      <c r="I111" s="87">
        <f>_xlfn.XLOOKUP(CoreValuesResults[[#This Row],[Team Number]],RobotDesignResults[Team Number],RobotDesignResults[Design - Ideas (CV)])</f>
        <v>0</v>
      </c>
      <c r="J111" s="87">
        <f>_xlfn.XLOOKUP(CoreValuesResults[[#This Row],[Team Number]],RobotDesignResults[Team Number],RobotDesignResults[Iterate - Improvements (CV)])</f>
        <v>0</v>
      </c>
      <c r="K111" s="87">
        <f>_xlfn.XLOOKUP(CoreValuesResults[[#This Row],[Team Number]],RobotDesignResults[Team Number],RobotDesignResults[Communicate - Impact (CV)])</f>
        <v>0</v>
      </c>
      <c r="L111" s="87">
        <f>_xlfn.XLOOKUP(CoreValuesResults[[#This Row],[Team Number]],RobotDesignResults[Team Number],RobotDesignResults[Communicate - Fun (CV)])</f>
        <v>0</v>
      </c>
      <c r="M111" s="17"/>
      <c r="N111" s="17"/>
      <c r="O111" s="17"/>
      <c r="P111" s="17"/>
      <c r="Q111" s="17"/>
      <c r="R111" s="12"/>
      <c r="S111" s="12"/>
      <c r="T111" s="12"/>
      <c r="U111" s="83">
        <f>SUM(CoreValuesResults[[#This Row],[Discovery (IP)]:[Fun (RD)]],CoreValuesResults[[#This Row],[Gracious Professionalism Score]])</f>
        <v>0</v>
      </c>
      <c r="V111" s="43">
        <f>IF(CoreValuesResults[[#This Row],[Team Number]]&gt;0,MIN(_xlfn.RANK.EQ(CoreValuesResults[[#This Row],[Core Values Score]],CoreValuesResults[Core Values Score],0),NumberOfTeams),NumberOfTeams+1)</f>
        <v>1</v>
      </c>
      <c r="W111" s="82"/>
      <c r="X111" s="82"/>
      <c r="Y111" s="82"/>
    </row>
    <row r="112" spans="1:25" ht="30" customHeight="1" x14ac:dyDescent="0.45">
      <c r="A112" s="12">
        <f>_xlfn.XLOOKUP(111,OfficialTeamList[Row],OfficialTeamList[Team Number],"ERROR",0)</f>
        <v>0</v>
      </c>
      <c r="B112" s="42" t="str">
        <f>_xlfn.XLOOKUP(CoreValuesResults[[#This Row],[Team Number]],OfficialTeamList[Team Number],OfficialTeamList[Team Name],"",0,)</f>
        <v/>
      </c>
      <c r="C112" s="87">
        <f>_xlfn.XLOOKUP(CoreValuesResults[[#This Row],[Team Number]],InnovationProjectResults[Team Number],InnovationProjectResults[Identify - Research (CV)])</f>
        <v>0</v>
      </c>
      <c r="D112" s="87">
        <f>_xlfn.XLOOKUP(CoreValuesResults[[#This Row],[Team Number]],InnovationProjectResults[Team Number],InnovationProjectResults[Design - Teamwork (CV)])</f>
        <v>0</v>
      </c>
      <c r="E112" s="87">
        <f>_xlfn.XLOOKUP(CoreValuesResults[[#This Row],[Team Number]],InnovationProjectResults[Team Number],InnovationProjectResults[Create - Innovation (CV)])</f>
        <v>0</v>
      </c>
      <c r="F112" s="87">
        <f>_xlfn.XLOOKUP(CoreValuesResults[[#This Row],[Team Number]],InnovationProjectResults[Team Number],InnovationProjectResults[Communicate - Impact (CV)])</f>
        <v>0</v>
      </c>
      <c r="G112" s="87">
        <f>_xlfn.XLOOKUP(CoreValuesResults[[#This Row],[Team Number]],InnovationProjectResults[Team Number],InnovationProjectResults[Communicate - Fun (CV)])</f>
        <v>0</v>
      </c>
      <c r="H112" s="87">
        <f>_xlfn.XLOOKUP(CoreValuesResults[[#This Row],[Team Number]],RobotDesignResults[Team Number],RobotDesignResults[Identify - Research (CV)])</f>
        <v>0</v>
      </c>
      <c r="I112" s="87">
        <f>_xlfn.XLOOKUP(CoreValuesResults[[#This Row],[Team Number]],RobotDesignResults[Team Number],RobotDesignResults[Design - Ideas (CV)])</f>
        <v>0</v>
      </c>
      <c r="J112" s="87">
        <f>_xlfn.XLOOKUP(CoreValuesResults[[#This Row],[Team Number]],RobotDesignResults[Team Number],RobotDesignResults[Iterate - Improvements (CV)])</f>
        <v>0</v>
      </c>
      <c r="K112" s="87">
        <f>_xlfn.XLOOKUP(CoreValuesResults[[#This Row],[Team Number]],RobotDesignResults[Team Number],RobotDesignResults[Communicate - Impact (CV)])</f>
        <v>0</v>
      </c>
      <c r="L112" s="87">
        <f>_xlfn.XLOOKUP(CoreValuesResults[[#This Row],[Team Number]],RobotDesignResults[Team Number],RobotDesignResults[Communicate - Fun (CV)])</f>
        <v>0</v>
      </c>
      <c r="M112" s="17"/>
      <c r="N112" s="17"/>
      <c r="O112" s="17"/>
      <c r="P112" s="17"/>
      <c r="Q112" s="17"/>
      <c r="R112" s="12"/>
      <c r="S112" s="12"/>
      <c r="T112" s="12"/>
      <c r="U112" s="83">
        <f>SUM(CoreValuesResults[[#This Row],[Discovery (IP)]:[Fun (RD)]],CoreValuesResults[[#This Row],[Gracious Professionalism Score]])</f>
        <v>0</v>
      </c>
      <c r="V112" s="43">
        <f>IF(CoreValuesResults[[#This Row],[Team Number]]&gt;0,MIN(_xlfn.RANK.EQ(CoreValuesResults[[#This Row],[Core Values Score]],CoreValuesResults[Core Values Score],0),NumberOfTeams),NumberOfTeams+1)</f>
        <v>1</v>
      </c>
      <c r="W112" s="82"/>
      <c r="X112" s="82"/>
      <c r="Y112" s="82"/>
    </row>
    <row r="113" spans="1:25" ht="30" customHeight="1" x14ac:dyDescent="0.45">
      <c r="A113" s="12">
        <f>_xlfn.XLOOKUP(112,OfficialTeamList[Row],OfficialTeamList[Team Number],"ERROR",0)</f>
        <v>0</v>
      </c>
      <c r="B113" s="42" t="str">
        <f>_xlfn.XLOOKUP(CoreValuesResults[[#This Row],[Team Number]],OfficialTeamList[Team Number],OfficialTeamList[Team Name],"",0,)</f>
        <v/>
      </c>
      <c r="C113" s="87">
        <f>_xlfn.XLOOKUP(CoreValuesResults[[#This Row],[Team Number]],InnovationProjectResults[Team Number],InnovationProjectResults[Identify - Research (CV)])</f>
        <v>0</v>
      </c>
      <c r="D113" s="87">
        <f>_xlfn.XLOOKUP(CoreValuesResults[[#This Row],[Team Number]],InnovationProjectResults[Team Number],InnovationProjectResults[Design - Teamwork (CV)])</f>
        <v>0</v>
      </c>
      <c r="E113" s="87">
        <f>_xlfn.XLOOKUP(CoreValuesResults[[#This Row],[Team Number]],InnovationProjectResults[Team Number],InnovationProjectResults[Create - Innovation (CV)])</f>
        <v>0</v>
      </c>
      <c r="F113" s="87">
        <f>_xlfn.XLOOKUP(CoreValuesResults[[#This Row],[Team Number]],InnovationProjectResults[Team Number],InnovationProjectResults[Communicate - Impact (CV)])</f>
        <v>0</v>
      </c>
      <c r="G113" s="87">
        <f>_xlfn.XLOOKUP(CoreValuesResults[[#This Row],[Team Number]],InnovationProjectResults[Team Number],InnovationProjectResults[Communicate - Fun (CV)])</f>
        <v>0</v>
      </c>
      <c r="H113" s="87">
        <f>_xlfn.XLOOKUP(CoreValuesResults[[#This Row],[Team Number]],RobotDesignResults[Team Number],RobotDesignResults[Identify - Research (CV)])</f>
        <v>0</v>
      </c>
      <c r="I113" s="87">
        <f>_xlfn.XLOOKUP(CoreValuesResults[[#This Row],[Team Number]],RobotDesignResults[Team Number],RobotDesignResults[Design - Ideas (CV)])</f>
        <v>0</v>
      </c>
      <c r="J113" s="87">
        <f>_xlfn.XLOOKUP(CoreValuesResults[[#This Row],[Team Number]],RobotDesignResults[Team Number],RobotDesignResults[Iterate - Improvements (CV)])</f>
        <v>0</v>
      </c>
      <c r="K113" s="87">
        <f>_xlfn.XLOOKUP(CoreValuesResults[[#This Row],[Team Number]],RobotDesignResults[Team Number],RobotDesignResults[Communicate - Impact (CV)])</f>
        <v>0</v>
      </c>
      <c r="L113" s="87">
        <f>_xlfn.XLOOKUP(CoreValuesResults[[#This Row],[Team Number]],RobotDesignResults[Team Number],RobotDesignResults[Communicate - Fun (CV)])</f>
        <v>0</v>
      </c>
      <c r="M113" s="17"/>
      <c r="N113" s="17"/>
      <c r="O113" s="17"/>
      <c r="P113" s="17"/>
      <c r="Q113" s="17"/>
      <c r="R113" s="12"/>
      <c r="S113" s="12"/>
      <c r="T113" s="12"/>
      <c r="U113" s="83">
        <f>SUM(CoreValuesResults[[#This Row],[Discovery (IP)]:[Fun (RD)]],CoreValuesResults[[#This Row],[Gracious Professionalism Score]])</f>
        <v>0</v>
      </c>
      <c r="V113" s="43">
        <f>IF(CoreValuesResults[[#This Row],[Team Number]]&gt;0,MIN(_xlfn.RANK.EQ(CoreValuesResults[[#This Row],[Core Values Score]],CoreValuesResults[Core Values Score],0),NumberOfTeams),NumberOfTeams+1)</f>
        <v>1</v>
      </c>
      <c r="W113" s="82"/>
      <c r="X113" s="82"/>
      <c r="Y113" s="82"/>
    </row>
    <row r="114" spans="1:25" ht="30" customHeight="1" x14ac:dyDescent="0.45">
      <c r="A114" s="12">
        <f>_xlfn.XLOOKUP(113,OfficialTeamList[Row],OfficialTeamList[Team Number],"ERROR",0)</f>
        <v>0</v>
      </c>
      <c r="B114" s="42" t="str">
        <f>_xlfn.XLOOKUP(CoreValuesResults[[#This Row],[Team Number]],OfficialTeamList[Team Number],OfficialTeamList[Team Name],"",0,)</f>
        <v/>
      </c>
      <c r="C114" s="87">
        <f>_xlfn.XLOOKUP(CoreValuesResults[[#This Row],[Team Number]],InnovationProjectResults[Team Number],InnovationProjectResults[Identify - Research (CV)])</f>
        <v>0</v>
      </c>
      <c r="D114" s="87">
        <f>_xlfn.XLOOKUP(CoreValuesResults[[#This Row],[Team Number]],InnovationProjectResults[Team Number],InnovationProjectResults[Design - Teamwork (CV)])</f>
        <v>0</v>
      </c>
      <c r="E114" s="87">
        <f>_xlfn.XLOOKUP(CoreValuesResults[[#This Row],[Team Number]],InnovationProjectResults[Team Number],InnovationProjectResults[Create - Innovation (CV)])</f>
        <v>0</v>
      </c>
      <c r="F114" s="87">
        <f>_xlfn.XLOOKUP(CoreValuesResults[[#This Row],[Team Number]],InnovationProjectResults[Team Number],InnovationProjectResults[Communicate - Impact (CV)])</f>
        <v>0</v>
      </c>
      <c r="G114" s="87">
        <f>_xlfn.XLOOKUP(CoreValuesResults[[#This Row],[Team Number]],InnovationProjectResults[Team Number],InnovationProjectResults[Communicate - Fun (CV)])</f>
        <v>0</v>
      </c>
      <c r="H114" s="87">
        <f>_xlfn.XLOOKUP(CoreValuesResults[[#This Row],[Team Number]],RobotDesignResults[Team Number],RobotDesignResults[Identify - Research (CV)])</f>
        <v>0</v>
      </c>
      <c r="I114" s="87">
        <f>_xlfn.XLOOKUP(CoreValuesResults[[#This Row],[Team Number]],RobotDesignResults[Team Number],RobotDesignResults[Design - Ideas (CV)])</f>
        <v>0</v>
      </c>
      <c r="J114" s="87">
        <f>_xlfn.XLOOKUP(CoreValuesResults[[#This Row],[Team Number]],RobotDesignResults[Team Number],RobotDesignResults[Iterate - Improvements (CV)])</f>
        <v>0</v>
      </c>
      <c r="K114" s="87">
        <f>_xlfn.XLOOKUP(CoreValuesResults[[#This Row],[Team Number]],RobotDesignResults[Team Number],RobotDesignResults[Communicate - Impact (CV)])</f>
        <v>0</v>
      </c>
      <c r="L114" s="87">
        <f>_xlfn.XLOOKUP(CoreValuesResults[[#This Row],[Team Number]],RobotDesignResults[Team Number],RobotDesignResults[Communicate - Fun (CV)])</f>
        <v>0</v>
      </c>
      <c r="M114" s="17"/>
      <c r="N114" s="17"/>
      <c r="O114" s="17"/>
      <c r="P114" s="17"/>
      <c r="Q114" s="17"/>
      <c r="R114" s="12"/>
      <c r="S114" s="12"/>
      <c r="T114" s="12"/>
      <c r="U114" s="83">
        <f>SUM(CoreValuesResults[[#This Row],[Discovery (IP)]:[Fun (RD)]],CoreValuesResults[[#This Row],[Gracious Professionalism Score]])</f>
        <v>0</v>
      </c>
      <c r="V114" s="43">
        <f>IF(CoreValuesResults[[#This Row],[Team Number]]&gt;0,MIN(_xlfn.RANK.EQ(CoreValuesResults[[#This Row],[Core Values Score]],CoreValuesResults[Core Values Score],0),NumberOfTeams),NumberOfTeams+1)</f>
        <v>1</v>
      </c>
      <c r="W114" s="82"/>
      <c r="X114" s="82"/>
      <c r="Y114" s="82"/>
    </row>
    <row r="115" spans="1:25" ht="30" customHeight="1" x14ac:dyDescent="0.45">
      <c r="A115" s="12">
        <f>_xlfn.XLOOKUP(114,OfficialTeamList[Row],OfficialTeamList[Team Number],"ERROR",0)</f>
        <v>0</v>
      </c>
      <c r="B115" s="42" t="str">
        <f>_xlfn.XLOOKUP(CoreValuesResults[[#This Row],[Team Number]],OfficialTeamList[Team Number],OfficialTeamList[Team Name],"",0,)</f>
        <v/>
      </c>
      <c r="C115" s="87">
        <f>_xlfn.XLOOKUP(CoreValuesResults[[#This Row],[Team Number]],InnovationProjectResults[Team Number],InnovationProjectResults[Identify - Research (CV)])</f>
        <v>0</v>
      </c>
      <c r="D115" s="87">
        <f>_xlfn.XLOOKUP(CoreValuesResults[[#This Row],[Team Number]],InnovationProjectResults[Team Number],InnovationProjectResults[Design - Teamwork (CV)])</f>
        <v>0</v>
      </c>
      <c r="E115" s="87">
        <f>_xlfn.XLOOKUP(CoreValuesResults[[#This Row],[Team Number]],InnovationProjectResults[Team Number],InnovationProjectResults[Create - Innovation (CV)])</f>
        <v>0</v>
      </c>
      <c r="F115" s="87">
        <f>_xlfn.XLOOKUP(CoreValuesResults[[#This Row],[Team Number]],InnovationProjectResults[Team Number],InnovationProjectResults[Communicate - Impact (CV)])</f>
        <v>0</v>
      </c>
      <c r="G115" s="87">
        <f>_xlfn.XLOOKUP(CoreValuesResults[[#This Row],[Team Number]],InnovationProjectResults[Team Number],InnovationProjectResults[Communicate - Fun (CV)])</f>
        <v>0</v>
      </c>
      <c r="H115" s="87">
        <f>_xlfn.XLOOKUP(CoreValuesResults[[#This Row],[Team Number]],RobotDesignResults[Team Number],RobotDesignResults[Identify - Research (CV)])</f>
        <v>0</v>
      </c>
      <c r="I115" s="87">
        <f>_xlfn.XLOOKUP(CoreValuesResults[[#This Row],[Team Number]],RobotDesignResults[Team Number],RobotDesignResults[Design - Ideas (CV)])</f>
        <v>0</v>
      </c>
      <c r="J115" s="87">
        <f>_xlfn.XLOOKUP(CoreValuesResults[[#This Row],[Team Number]],RobotDesignResults[Team Number],RobotDesignResults[Iterate - Improvements (CV)])</f>
        <v>0</v>
      </c>
      <c r="K115" s="87">
        <f>_xlfn.XLOOKUP(CoreValuesResults[[#This Row],[Team Number]],RobotDesignResults[Team Number],RobotDesignResults[Communicate - Impact (CV)])</f>
        <v>0</v>
      </c>
      <c r="L115" s="87">
        <f>_xlfn.XLOOKUP(CoreValuesResults[[#This Row],[Team Number]],RobotDesignResults[Team Number],RobotDesignResults[Communicate - Fun (CV)])</f>
        <v>0</v>
      </c>
      <c r="M115" s="17"/>
      <c r="N115" s="17"/>
      <c r="O115" s="17"/>
      <c r="P115" s="17"/>
      <c r="Q115" s="17"/>
      <c r="R115" s="12"/>
      <c r="S115" s="12"/>
      <c r="T115" s="12"/>
      <c r="U115" s="83">
        <f>SUM(CoreValuesResults[[#This Row],[Discovery (IP)]:[Fun (RD)]],CoreValuesResults[[#This Row],[Gracious Professionalism Score]])</f>
        <v>0</v>
      </c>
      <c r="V115" s="43">
        <f>IF(CoreValuesResults[[#This Row],[Team Number]]&gt;0,MIN(_xlfn.RANK.EQ(CoreValuesResults[[#This Row],[Core Values Score]],CoreValuesResults[Core Values Score],0),NumberOfTeams),NumberOfTeams+1)</f>
        <v>1</v>
      </c>
      <c r="W115" s="82"/>
      <c r="X115" s="82"/>
      <c r="Y115" s="82"/>
    </row>
    <row r="116" spans="1:25" ht="30" customHeight="1" x14ac:dyDescent="0.45">
      <c r="A116" s="12">
        <f>_xlfn.XLOOKUP(115,OfficialTeamList[Row],OfficialTeamList[Team Number],"ERROR",0)</f>
        <v>0</v>
      </c>
      <c r="B116" s="42" t="str">
        <f>_xlfn.XLOOKUP(CoreValuesResults[[#This Row],[Team Number]],OfficialTeamList[Team Number],OfficialTeamList[Team Name],"",0,)</f>
        <v/>
      </c>
      <c r="C116" s="87">
        <f>_xlfn.XLOOKUP(CoreValuesResults[[#This Row],[Team Number]],InnovationProjectResults[Team Number],InnovationProjectResults[Identify - Research (CV)])</f>
        <v>0</v>
      </c>
      <c r="D116" s="87">
        <f>_xlfn.XLOOKUP(CoreValuesResults[[#This Row],[Team Number]],InnovationProjectResults[Team Number],InnovationProjectResults[Design - Teamwork (CV)])</f>
        <v>0</v>
      </c>
      <c r="E116" s="87">
        <f>_xlfn.XLOOKUP(CoreValuesResults[[#This Row],[Team Number]],InnovationProjectResults[Team Number],InnovationProjectResults[Create - Innovation (CV)])</f>
        <v>0</v>
      </c>
      <c r="F116" s="87">
        <f>_xlfn.XLOOKUP(CoreValuesResults[[#This Row],[Team Number]],InnovationProjectResults[Team Number],InnovationProjectResults[Communicate - Impact (CV)])</f>
        <v>0</v>
      </c>
      <c r="G116" s="87">
        <f>_xlfn.XLOOKUP(CoreValuesResults[[#This Row],[Team Number]],InnovationProjectResults[Team Number],InnovationProjectResults[Communicate - Fun (CV)])</f>
        <v>0</v>
      </c>
      <c r="H116" s="87">
        <f>_xlfn.XLOOKUP(CoreValuesResults[[#This Row],[Team Number]],RobotDesignResults[Team Number],RobotDesignResults[Identify - Research (CV)])</f>
        <v>0</v>
      </c>
      <c r="I116" s="87">
        <f>_xlfn.XLOOKUP(CoreValuesResults[[#This Row],[Team Number]],RobotDesignResults[Team Number],RobotDesignResults[Design - Ideas (CV)])</f>
        <v>0</v>
      </c>
      <c r="J116" s="87">
        <f>_xlfn.XLOOKUP(CoreValuesResults[[#This Row],[Team Number]],RobotDesignResults[Team Number],RobotDesignResults[Iterate - Improvements (CV)])</f>
        <v>0</v>
      </c>
      <c r="K116" s="87">
        <f>_xlfn.XLOOKUP(CoreValuesResults[[#This Row],[Team Number]],RobotDesignResults[Team Number],RobotDesignResults[Communicate - Impact (CV)])</f>
        <v>0</v>
      </c>
      <c r="L116" s="87">
        <f>_xlfn.XLOOKUP(CoreValuesResults[[#This Row],[Team Number]],RobotDesignResults[Team Number],RobotDesignResults[Communicate - Fun (CV)])</f>
        <v>0</v>
      </c>
      <c r="M116" s="17"/>
      <c r="N116" s="17"/>
      <c r="O116" s="17"/>
      <c r="P116" s="17"/>
      <c r="Q116" s="17"/>
      <c r="R116" s="12"/>
      <c r="S116" s="12"/>
      <c r="T116" s="12"/>
      <c r="U116" s="83">
        <f>SUM(CoreValuesResults[[#This Row],[Discovery (IP)]:[Fun (RD)]],CoreValuesResults[[#This Row],[Gracious Professionalism Score]])</f>
        <v>0</v>
      </c>
      <c r="V116" s="43">
        <f>IF(CoreValuesResults[[#This Row],[Team Number]]&gt;0,MIN(_xlfn.RANK.EQ(CoreValuesResults[[#This Row],[Core Values Score]],CoreValuesResults[Core Values Score],0),NumberOfTeams),NumberOfTeams+1)</f>
        <v>1</v>
      </c>
      <c r="W116" s="82"/>
      <c r="X116" s="82"/>
      <c r="Y116" s="82"/>
    </row>
    <row r="117" spans="1:25" ht="30" customHeight="1" x14ac:dyDescent="0.45">
      <c r="A117" s="12">
        <f>_xlfn.XLOOKUP(116,OfficialTeamList[Row],OfficialTeamList[Team Number],"ERROR",0)</f>
        <v>0</v>
      </c>
      <c r="B117" s="42" t="str">
        <f>_xlfn.XLOOKUP(CoreValuesResults[[#This Row],[Team Number]],OfficialTeamList[Team Number],OfficialTeamList[Team Name],"",0,)</f>
        <v/>
      </c>
      <c r="C117" s="87">
        <f>_xlfn.XLOOKUP(CoreValuesResults[[#This Row],[Team Number]],InnovationProjectResults[Team Number],InnovationProjectResults[Identify - Research (CV)])</f>
        <v>0</v>
      </c>
      <c r="D117" s="87">
        <f>_xlfn.XLOOKUP(CoreValuesResults[[#This Row],[Team Number]],InnovationProjectResults[Team Number],InnovationProjectResults[Design - Teamwork (CV)])</f>
        <v>0</v>
      </c>
      <c r="E117" s="87">
        <f>_xlfn.XLOOKUP(CoreValuesResults[[#This Row],[Team Number]],InnovationProjectResults[Team Number],InnovationProjectResults[Create - Innovation (CV)])</f>
        <v>0</v>
      </c>
      <c r="F117" s="87">
        <f>_xlfn.XLOOKUP(CoreValuesResults[[#This Row],[Team Number]],InnovationProjectResults[Team Number],InnovationProjectResults[Communicate - Impact (CV)])</f>
        <v>0</v>
      </c>
      <c r="G117" s="87">
        <f>_xlfn.XLOOKUP(CoreValuesResults[[#This Row],[Team Number]],InnovationProjectResults[Team Number],InnovationProjectResults[Communicate - Fun (CV)])</f>
        <v>0</v>
      </c>
      <c r="H117" s="87">
        <f>_xlfn.XLOOKUP(CoreValuesResults[[#This Row],[Team Number]],RobotDesignResults[Team Number],RobotDesignResults[Identify - Research (CV)])</f>
        <v>0</v>
      </c>
      <c r="I117" s="87">
        <f>_xlfn.XLOOKUP(CoreValuesResults[[#This Row],[Team Number]],RobotDesignResults[Team Number],RobotDesignResults[Design - Ideas (CV)])</f>
        <v>0</v>
      </c>
      <c r="J117" s="87">
        <f>_xlfn.XLOOKUP(CoreValuesResults[[#This Row],[Team Number]],RobotDesignResults[Team Number],RobotDesignResults[Iterate - Improvements (CV)])</f>
        <v>0</v>
      </c>
      <c r="K117" s="87">
        <f>_xlfn.XLOOKUP(CoreValuesResults[[#This Row],[Team Number]],RobotDesignResults[Team Number],RobotDesignResults[Communicate - Impact (CV)])</f>
        <v>0</v>
      </c>
      <c r="L117" s="87">
        <f>_xlfn.XLOOKUP(CoreValuesResults[[#This Row],[Team Number]],RobotDesignResults[Team Number],RobotDesignResults[Communicate - Fun (CV)])</f>
        <v>0</v>
      </c>
      <c r="M117" s="17"/>
      <c r="N117" s="17"/>
      <c r="O117" s="17"/>
      <c r="P117" s="17"/>
      <c r="Q117" s="17"/>
      <c r="R117" s="12"/>
      <c r="S117" s="12"/>
      <c r="T117" s="12"/>
      <c r="U117" s="83">
        <f>SUM(CoreValuesResults[[#This Row],[Discovery (IP)]:[Fun (RD)]],CoreValuesResults[[#This Row],[Gracious Professionalism Score]])</f>
        <v>0</v>
      </c>
      <c r="V117" s="43">
        <f>IF(CoreValuesResults[[#This Row],[Team Number]]&gt;0,MIN(_xlfn.RANK.EQ(CoreValuesResults[[#This Row],[Core Values Score]],CoreValuesResults[Core Values Score],0),NumberOfTeams),NumberOfTeams+1)</f>
        <v>1</v>
      </c>
      <c r="W117" s="82"/>
      <c r="X117" s="82"/>
      <c r="Y117" s="82"/>
    </row>
    <row r="118" spans="1:25" ht="30" customHeight="1" x14ac:dyDescent="0.45">
      <c r="A118" s="12">
        <f>_xlfn.XLOOKUP(117,OfficialTeamList[Row],OfficialTeamList[Team Number],"ERROR",0)</f>
        <v>0</v>
      </c>
      <c r="B118" s="42" t="str">
        <f>_xlfn.XLOOKUP(CoreValuesResults[[#This Row],[Team Number]],OfficialTeamList[Team Number],OfficialTeamList[Team Name],"",0,)</f>
        <v/>
      </c>
      <c r="C118" s="87">
        <f>_xlfn.XLOOKUP(CoreValuesResults[[#This Row],[Team Number]],InnovationProjectResults[Team Number],InnovationProjectResults[Identify - Research (CV)])</f>
        <v>0</v>
      </c>
      <c r="D118" s="87">
        <f>_xlfn.XLOOKUP(CoreValuesResults[[#This Row],[Team Number]],InnovationProjectResults[Team Number],InnovationProjectResults[Design - Teamwork (CV)])</f>
        <v>0</v>
      </c>
      <c r="E118" s="87">
        <f>_xlfn.XLOOKUP(CoreValuesResults[[#This Row],[Team Number]],InnovationProjectResults[Team Number],InnovationProjectResults[Create - Innovation (CV)])</f>
        <v>0</v>
      </c>
      <c r="F118" s="87">
        <f>_xlfn.XLOOKUP(CoreValuesResults[[#This Row],[Team Number]],InnovationProjectResults[Team Number],InnovationProjectResults[Communicate - Impact (CV)])</f>
        <v>0</v>
      </c>
      <c r="G118" s="87">
        <f>_xlfn.XLOOKUP(CoreValuesResults[[#This Row],[Team Number]],InnovationProjectResults[Team Number],InnovationProjectResults[Communicate - Fun (CV)])</f>
        <v>0</v>
      </c>
      <c r="H118" s="87">
        <f>_xlfn.XLOOKUP(CoreValuesResults[[#This Row],[Team Number]],RobotDesignResults[Team Number],RobotDesignResults[Identify - Research (CV)])</f>
        <v>0</v>
      </c>
      <c r="I118" s="87">
        <f>_xlfn.XLOOKUP(CoreValuesResults[[#This Row],[Team Number]],RobotDesignResults[Team Number],RobotDesignResults[Design - Ideas (CV)])</f>
        <v>0</v>
      </c>
      <c r="J118" s="87">
        <f>_xlfn.XLOOKUP(CoreValuesResults[[#This Row],[Team Number]],RobotDesignResults[Team Number],RobotDesignResults[Iterate - Improvements (CV)])</f>
        <v>0</v>
      </c>
      <c r="K118" s="87">
        <f>_xlfn.XLOOKUP(CoreValuesResults[[#This Row],[Team Number]],RobotDesignResults[Team Number],RobotDesignResults[Communicate - Impact (CV)])</f>
        <v>0</v>
      </c>
      <c r="L118" s="87">
        <f>_xlfn.XLOOKUP(CoreValuesResults[[#This Row],[Team Number]],RobotDesignResults[Team Number],RobotDesignResults[Communicate - Fun (CV)])</f>
        <v>0</v>
      </c>
      <c r="M118" s="17"/>
      <c r="N118" s="17"/>
      <c r="O118" s="17"/>
      <c r="P118" s="17"/>
      <c r="Q118" s="17"/>
      <c r="R118" s="12"/>
      <c r="S118" s="12"/>
      <c r="T118" s="12"/>
      <c r="U118" s="83">
        <f>SUM(CoreValuesResults[[#This Row],[Discovery (IP)]:[Fun (RD)]],CoreValuesResults[[#This Row],[Gracious Professionalism Score]])</f>
        <v>0</v>
      </c>
      <c r="V118" s="43">
        <f>IF(CoreValuesResults[[#This Row],[Team Number]]&gt;0,MIN(_xlfn.RANK.EQ(CoreValuesResults[[#This Row],[Core Values Score]],CoreValuesResults[Core Values Score],0),NumberOfTeams),NumberOfTeams+1)</f>
        <v>1</v>
      </c>
      <c r="W118" s="82"/>
      <c r="X118" s="82"/>
      <c r="Y118" s="82"/>
    </row>
    <row r="119" spans="1:25" ht="30" customHeight="1" x14ac:dyDescent="0.45">
      <c r="A119" s="12">
        <f>_xlfn.XLOOKUP(118,OfficialTeamList[Row],OfficialTeamList[Team Number],"ERROR",0)</f>
        <v>0</v>
      </c>
      <c r="B119" s="42" t="str">
        <f>_xlfn.XLOOKUP(CoreValuesResults[[#This Row],[Team Number]],OfficialTeamList[Team Number],OfficialTeamList[Team Name],"",0,)</f>
        <v/>
      </c>
      <c r="C119" s="87">
        <f>_xlfn.XLOOKUP(CoreValuesResults[[#This Row],[Team Number]],InnovationProjectResults[Team Number],InnovationProjectResults[Identify - Research (CV)])</f>
        <v>0</v>
      </c>
      <c r="D119" s="87">
        <f>_xlfn.XLOOKUP(CoreValuesResults[[#This Row],[Team Number]],InnovationProjectResults[Team Number],InnovationProjectResults[Design - Teamwork (CV)])</f>
        <v>0</v>
      </c>
      <c r="E119" s="87">
        <f>_xlfn.XLOOKUP(CoreValuesResults[[#This Row],[Team Number]],InnovationProjectResults[Team Number],InnovationProjectResults[Create - Innovation (CV)])</f>
        <v>0</v>
      </c>
      <c r="F119" s="87">
        <f>_xlfn.XLOOKUP(CoreValuesResults[[#This Row],[Team Number]],InnovationProjectResults[Team Number],InnovationProjectResults[Communicate - Impact (CV)])</f>
        <v>0</v>
      </c>
      <c r="G119" s="87">
        <f>_xlfn.XLOOKUP(CoreValuesResults[[#This Row],[Team Number]],InnovationProjectResults[Team Number],InnovationProjectResults[Communicate - Fun (CV)])</f>
        <v>0</v>
      </c>
      <c r="H119" s="87">
        <f>_xlfn.XLOOKUP(CoreValuesResults[[#This Row],[Team Number]],RobotDesignResults[Team Number],RobotDesignResults[Identify - Research (CV)])</f>
        <v>0</v>
      </c>
      <c r="I119" s="87">
        <f>_xlfn.XLOOKUP(CoreValuesResults[[#This Row],[Team Number]],RobotDesignResults[Team Number],RobotDesignResults[Design - Ideas (CV)])</f>
        <v>0</v>
      </c>
      <c r="J119" s="87">
        <f>_xlfn.XLOOKUP(CoreValuesResults[[#This Row],[Team Number]],RobotDesignResults[Team Number],RobotDesignResults[Iterate - Improvements (CV)])</f>
        <v>0</v>
      </c>
      <c r="K119" s="87">
        <f>_xlfn.XLOOKUP(CoreValuesResults[[#This Row],[Team Number]],RobotDesignResults[Team Number],RobotDesignResults[Communicate - Impact (CV)])</f>
        <v>0</v>
      </c>
      <c r="L119" s="87">
        <f>_xlfn.XLOOKUP(CoreValuesResults[[#This Row],[Team Number]],RobotDesignResults[Team Number],RobotDesignResults[Communicate - Fun (CV)])</f>
        <v>0</v>
      </c>
      <c r="M119" s="17"/>
      <c r="N119" s="17"/>
      <c r="O119" s="17"/>
      <c r="P119" s="17"/>
      <c r="Q119" s="17"/>
      <c r="R119" s="12"/>
      <c r="S119" s="12"/>
      <c r="T119" s="12"/>
      <c r="U119" s="83">
        <f>SUM(CoreValuesResults[[#This Row],[Discovery (IP)]:[Fun (RD)]],CoreValuesResults[[#This Row],[Gracious Professionalism Score]])</f>
        <v>0</v>
      </c>
      <c r="V119" s="43">
        <f>IF(CoreValuesResults[[#This Row],[Team Number]]&gt;0,MIN(_xlfn.RANK.EQ(CoreValuesResults[[#This Row],[Core Values Score]],CoreValuesResults[Core Values Score],0),NumberOfTeams),NumberOfTeams+1)</f>
        <v>1</v>
      </c>
      <c r="W119" s="82"/>
      <c r="X119" s="82"/>
      <c r="Y119" s="82"/>
    </row>
    <row r="120" spans="1:25" ht="30" customHeight="1" x14ac:dyDescent="0.45">
      <c r="A120" s="12">
        <f>_xlfn.XLOOKUP(119,OfficialTeamList[Row],OfficialTeamList[Team Number],"ERROR",0)</f>
        <v>0</v>
      </c>
      <c r="B120" s="42" t="str">
        <f>_xlfn.XLOOKUP(CoreValuesResults[[#This Row],[Team Number]],OfficialTeamList[Team Number],OfficialTeamList[Team Name],"",0,)</f>
        <v/>
      </c>
      <c r="C120" s="87">
        <f>_xlfn.XLOOKUP(CoreValuesResults[[#This Row],[Team Number]],InnovationProjectResults[Team Number],InnovationProjectResults[Identify - Research (CV)])</f>
        <v>0</v>
      </c>
      <c r="D120" s="87">
        <f>_xlfn.XLOOKUP(CoreValuesResults[[#This Row],[Team Number]],InnovationProjectResults[Team Number],InnovationProjectResults[Design - Teamwork (CV)])</f>
        <v>0</v>
      </c>
      <c r="E120" s="87">
        <f>_xlfn.XLOOKUP(CoreValuesResults[[#This Row],[Team Number]],InnovationProjectResults[Team Number],InnovationProjectResults[Create - Innovation (CV)])</f>
        <v>0</v>
      </c>
      <c r="F120" s="87">
        <f>_xlfn.XLOOKUP(CoreValuesResults[[#This Row],[Team Number]],InnovationProjectResults[Team Number],InnovationProjectResults[Communicate - Impact (CV)])</f>
        <v>0</v>
      </c>
      <c r="G120" s="87">
        <f>_xlfn.XLOOKUP(CoreValuesResults[[#This Row],[Team Number]],InnovationProjectResults[Team Number],InnovationProjectResults[Communicate - Fun (CV)])</f>
        <v>0</v>
      </c>
      <c r="H120" s="87">
        <f>_xlfn.XLOOKUP(CoreValuesResults[[#This Row],[Team Number]],RobotDesignResults[Team Number],RobotDesignResults[Identify - Research (CV)])</f>
        <v>0</v>
      </c>
      <c r="I120" s="87">
        <f>_xlfn.XLOOKUP(CoreValuesResults[[#This Row],[Team Number]],RobotDesignResults[Team Number],RobotDesignResults[Design - Ideas (CV)])</f>
        <v>0</v>
      </c>
      <c r="J120" s="87">
        <f>_xlfn.XLOOKUP(CoreValuesResults[[#This Row],[Team Number]],RobotDesignResults[Team Number],RobotDesignResults[Iterate - Improvements (CV)])</f>
        <v>0</v>
      </c>
      <c r="K120" s="87">
        <f>_xlfn.XLOOKUP(CoreValuesResults[[#This Row],[Team Number]],RobotDesignResults[Team Number],RobotDesignResults[Communicate - Impact (CV)])</f>
        <v>0</v>
      </c>
      <c r="L120" s="87">
        <f>_xlfn.XLOOKUP(CoreValuesResults[[#This Row],[Team Number]],RobotDesignResults[Team Number],RobotDesignResults[Communicate - Fun (CV)])</f>
        <v>0</v>
      </c>
      <c r="M120" s="17"/>
      <c r="N120" s="17"/>
      <c r="O120" s="17"/>
      <c r="P120" s="17"/>
      <c r="Q120" s="17"/>
      <c r="R120" s="12"/>
      <c r="S120" s="12"/>
      <c r="T120" s="12"/>
      <c r="U120" s="83">
        <f>SUM(CoreValuesResults[[#This Row],[Discovery (IP)]:[Fun (RD)]],CoreValuesResults[[#This Row],[Gracious Professionalism Score]])</f>
        <v>0</v>
      </c>
      <c r="V120" s="43">
        <f>IF(CoreValuesResults[[#This Row],[Team Number]]&gt;0,MIN(_xlfn.RANK.EQ(CoreValuesResults[[#This Row],[Core Values Score]],CoreValuesResults[Core Values Score],0),NumberOfTeams),NumberOfTeams+1)</f>
        <v>1</v>
      </c>
      <c r="W120" s="82"/>
      <c r="X120" s="82"/>
      <c r="Y120" s="82"/>
    </row>
    <row r="121" spans="1:25" ht="30" customHeight="1" x14ac:dyDescent="0.45">
      <c r="A121" s="12">
        <f>_xlfn.XLOOKUP(120,OfficialTeamList[Row],OfficialTeamList[Team Number],"ERROR",0)</f>
        <v>0</v>
      </c>
      <c r="B121" s="42" t="str">
        <f>_xlfn.XLOOKUP(CoreValuesResults[[#This Row],[Team Number]],OfficialTeamList[Team Number],OfficialTeamList[Team Name],"",0,)</f>
        <v/>
      </c>
      <c r="C121" s="87">
        <f>_xlfn.XLOOKUP(CoreValuesResults[[#This Row],[Team Number]],InnovationProjectResults[Team Number],InnovationProjectResults[Identify - Research (CV)])</f>
        <v>0</v>
      </c>
      <c r="D121" s="87">
        <f>_xlfn.XLOOKUP(CoreValuesResults[[#This Row],[Team Number]],InnovationProjectResults[Team Number],InnovationProjectResults[Design - Teamwork (CV)])</f>
        <v>0</v>
      </c>
      <c r="E121" s="87">
        <f>_xlfn.XLOOKUP(CoreValuesResults[[#This Row],[Team Number]],InnovationProjectResults[Team Number],InnovationProjectResults[Create - Innovation (CV)])</f>
        <v>0</v>
      </c>
      <c r="F121" s="87">
        <f>_xlfn.XLOOKUP(CoreValuesResults[[#This Row],[Team Number]],InnovationProjectResults[Team Number],InnovationProjectResults[Communicate - Impact (CV)])</f>
        <v>0</v>
      </c>
      <c r="G121" s="87">
        <f>_xlfn.XLOOKUP(CoreValuesResults[[#This Row],[Team Number]],InnovationProjectResults[Team Number],InnovationProjectResults[Communicate - Fun (CV)])</f>
        <v>0</v>
      </c>
      <c r="H121" s="87">
        <f>_xlfn.XLOOKUP(CoreValuesResults[[#This Row],[Team Number]],RobotDesignResults[Team Number],RobotDesignResults[Identify - Research (CV)])</f>
        <v>0</v>
      </c>
      <c r="I121" s="87">
        <f>_xlfn.XLOOKUP(CoreValuesResults[[#This Row],[Team Number]],RobotDesignResults[Team Number],RobotDesignResults[Design - Ideas (CV)])</f>
        <v>0</v>
      </c>
      <c r="J121" s="87">
        <f>_xlfn.XLOOKUP(CoreValuesResults[[#This Row],[Team Number]],RobotDesignResults[Team Number],RobotDesignResults[Iterate - Improvements (CV)])</f>
        <v>0</v>
      </c>
      <c r="K121" s="87">
        <f>_xlfn.XLOOKUP(CoreValuesResults[[#This Row],[Team Number]],RobotDesignResults[Team Number],RobotDesignResults[Communicate - Impact (CV)])</f>
        <v>0</v>
      </c>
      <c r="L121" s="87">
        <f>_xlfn.XLOOKUP(CoreValuesResults[[#This Row],[Team Number]],RobotDesignResults[Team Number],RobotDesignResults[Communicate - Fun (CV)])</f>
        <v>0</v>
      </c>
      <c r="M121" s="17"/>
      <c r="N121" s="17"/>
      <c r="O121" s="17"/>
      <c r="P121" s="17"/>
      <c r="Q121" s="17"/>
      <c r="R121" s="12"/>
      <c r="S121" s="12"/>
      <c r="T121" s="12"/>
      <c r="U121" s="83">
        <f>SUM(CoreValuesResults[[#This Row],[Discovery (IP)]:[Fun (RD)]],CoreValuesResults[[#This Row],[Gracious Professionalism Score]])</f>
        <v>0</v>
      </c>
      <c r="V121" s="43">
        <f>IF(CoreValuesResults[[#This Row],[Team Number]]&gt;0,MIN(_xlfn.RANK.EQ(CoreValuesResults[[#This Row],[Core Values Score]],CoreValuesResults[Core Values Score],0),NumberOfTeams),NumberOfTeams+1)</f>
        <v>1</v>
      </c>
      <c r="W121" s="82"/>
      <c r="X121" s="82"/>
      <c r="Y121" s="82"/>
    </row>
    <row r="122" spans="1:25" ht="30" customHeight="1" x14ac:dyDescent="0.45">
      <c r="A122" s="12">
        <f>_xlfn.XLOOKUP(121,OfficialTeamList[Row],OfficialTeamList[Team Number],"ERROR",0)</f>
        <v>0</v>
      </c>
      <c r="B122" s="42" t="str">
        <f>_xlfn.XLOOKUP(CoreValuesResults[[#This Row],[Team Number]],OfficialTeamList[Team Number],OfficialTeamList[Team Name],"",0,)</f>
        <v/>
      </c>
      <c r="C122" s="87">
        <f>_xlfn.XLOOKUP(CoreValuesResults[[#This Row],[Team Number]],InnovationProjectResults[Team Number],InnovationProjectResults[Identify - Research (CV)])</f>
        <v>0</v>
      </c>
      <c r="D122" s="87">
        <f>_xlfn.XLOOKUP(CoreValuesResults[[#This Row],[Team Number]],InnovationProjectResults[Team Number],InnovationProjectResults[Design - Teamwork (CV)])</f>
        <v>0</v>
      </c>
      <c r="E122" s="87">
        <f>_xlfn.XLOOKUP(CoreValuesResults[[#This Row],[Team Number]],InnovationProjectResults[Team Number],InnovationProjectResults[Create - Innovation (CV)])</f>
        <v>0</v>
      </c>
      <c r="F122" s="87">
        <f>_xlfn.XLOOKUP(CoreValuesResults[[#This Row],[Team Number]],InnovationProjectResults[Team Number],InnovationProjectResults[Communicate - Impact (CV)])</f>
        <v>0</v>
      </c>
      <c r="G122" s="87">
        <f>_xlfn.XLOOKUP(CoreValuesResults[[#This Row],[Team Number]],InnovationProjectResults[Team Number],InnovationProjectResults[Communicate - Fun (CV)])</f>
        <v>0</v>
      </c>
      <c r="H122" s="87">
        <f>_xlfn.XLOOKUP(CoreValuesResults[[#This Row],[Team Number]],RobotDesignResults[Team Number],RobotDesignResults[Identify - Research (CV)])</f>
        <v>0</v>
      </c>
      <c r="I122" s="87">
        <f>_xlfn.XLOOKUP(CoreValuesResults[[#This Row],[Team Number]],RobotDesignResults[Team Number],RobotDesignResults[Design - Ideas (CV)])</f>
        <v>0</v>
      </c>
      <c r="J122" s="87">
        <f>_xlfn.XLOOKUP(CoreValuesResults[[#This Row],[Team Number]],RobotDesignResults[Team Number],RobotDesignResults[Iterate - Improvements (CV)])</f>
        <v>0</v>
      </c>
      <c r="K122" s="87">
        <f>_xlfn.XLOOKUP(CoreValuesResults[[#This Row],[Team Number]],RobotDesignResults[Team Number],RobotDesignResults[Communicate - Impact (CV)])</f>
        <v>0</v>
      </c>
      <c r="L122" s="87">
        <f>_xlfn.XLOOKUP(CoreValuesResults[[#This Row],[Team Number]],RobotDesignResults[Team Number],RobotDesignResults[Communicate - Fun (CV)])</f>
        <v>0</v>
      </c>
      <c r="M122" s="17"/>
      <c r="N122" s="17"/>
      <c r="O122" s="17"/>
      <c r="P122" s="17"/>
      <c r="Q122" s="17"/>
      <c r="R122" s="12"/>
      <c r="S122" s="12"/>
      <c r="T122" s="12"/>
      <c r="U122" s="83">
        <f>SUM(CoreValuesResults[[#This Row],[Discovery (IP)]:[Fun (RD)]],CoreValuesResults[[#This Row],[Gracious Professionalism Score]])</f>
        <v>0</v>
      </c>
      <c r="V122" s="43">
        <f>IF(CoreValuesResults[[#This Row],[Team Number]]&gt;0,MIN(_xlfn.RANK.EQ(CoreValuesResults[[#This Row],[Core Values Score]],CoreValuesResults[Core Values Score],0),NumberOfTeams),NumberOfTeams+1)</f>
        <v>1</v>
      </c>
      <c r="W122" s="82"/>
      <c r="X122" s="82"/>
      <c r="Y122" s="82"/>
    </row>
    <row r="123" spans="1:25" ht="30" customHeight="1" x14ac:dyDescent="0.45">
      <c r="A123" s="12">
        <f>_xlfn.XLOOKUP(122,OfficialTeamList[Row],OfficialTeamList[Team Number],"ERROR",0)</f>
        <v>0</v>
      </c>
      <c r="B123" s="42" t="str">
        <f>_xlfn.XLOOKUP(CoreValuesResults[[#This Row],[Team Number]],OfficialTeamList[Team Number],OfficialTeamList[Team Name],"",0,)</f>
        <v/>
      </c>
      <c r="C123" s="87">
        <f>_xlfn.XLOOKUP(CoreValuesResults[[#This Row],[Team Number]],InnovationProjectResults[Team Number],InnovationProjectResults[Identify - Research (CV)])</f>
        <v>0</v>
      </c>
      <c r="D123" s="87">
        <f>_xlfn.XLOOKUP(CoreValuesResults[[#This Row],[Team Number]],InnovationProjectResults[Team Number],InnovationProjectResults[Design - Teamwork (CV)])</f>
        <v>0</v>
      </c>
      <c r="E123" s="87">
        <f>_xlfn.XLOOKUP(CoreValuesResults[[#This Row],[Team Number]],InnovationProjectResults[Team Number],InnovationProjectResults[Create - Innovation (CV)])</f>
        <v>0</v>
      </c>
      <c r="F123" s="87">
        <f>_xlfn.XLOOKUP(CoreValuesResults[[#This Row],[Team Number]],InnovationProjectResults[Team Number],InnovationProjectResults[Communicate - Impact (CV)])</f>
        <v>0</v>
      </c>
      <c r="G123" s="87">
        <f>_xlfn.XLOOKUP(CoreValuesResults[[#This Row],[Team Number]],InnovationProjectResults[Team Number],InnovationProjectResults[Communicate - Fun (CV)])</f>
        <v>0</v>
      </c>
      <c r="H123" s="87">
        <f>_xlfn.XLOOKUP(CoreValuesResults[[#This Row],[Team Number]],RobotDesignResults[Team Number],RobotDesignResults[Identify - Research (CV)])</f>
        <v>0</v>
      </c>
      <c r="I123" s="87">
        <f>_xlfn.XLOOKUP(CoreValuesResults[[#This Row],[Team Number]],RobotDesignResults[Team Number],RobotDesignResults[Design - Ideas (CV)])</f>
        <v>0</v>
      </c>
      <c r="J123" s="87">
        <f>_xlfn.XLOOKUP(CoreValuesResults[[#This Row],[Team Number]],RobotDesignResults[Team Number],RobotDesignResults[Iterate - Improvements (CV)])</f>
        <v>0</v>
      </c>
      <c r="K123" s="87">
        <f>_xlfn.XLOOKUP(CoreValuesResults[[#This Row],[Team Number]],RobotDesignResults[Team Number],RobotDesignResults[Communicate - Impact (CV)])</f>
        <v>0</v>
      </c>
      <c r="L123" s="87">
        <f>_xlfn.XLOOKUP(CoreValuesResults[[#This Row],[Team Number]],RobotDesignResults[Team Number],RobotDesignResults[Communicate - Fun (CV)])</f>
        <v>0</v>
      </c>
      <c r="M123" s="17"/>
      <c r="N123" s="17"/>
      <c r="O123" s="17"/>
      <c r="P123" s="17"/>
      <c r="Q123" s="17"/>
      <c r="R123" s="12"/>
      <c r="S123" s="12"/>
      <c r="T123" s="12"/>
      <c r="U123" s="83">
        <f>SUM(CoreValuesResults[[#This Row],[Discovery (IP)]:[Fun (RD)]],CoreValuesResults[[#This Row],[Gracious Professionalism Score]])</f>
        <v>0</v>
      </c>
      <c r="V123" s="43">
        <f>IF(CoreValuesResults[[#This Row],[Team Number]]&gt;0,MIN(_xlfn.RANK.EQ(CoreValuesResults[[#This Row],[Core Values Score]],CoreValuesResults[Core Values Score],0),NumberOfTeams),NumberOfTeams+1)</f>
        <v>1</v>
      </c>
      <c r="W123" s="82"/>
      <c r="X123" s="82"/>
      <c r="Y123" s="82"/>
    </row>
    <row r="124" spans="1:25" ht="30" customHeight="1" x14ac:dyDescent="0.45">
      <c r="A124" s="12">
        <f>_xlfn.XLOOKUP(123,OfficialTeamList[Row],OfficialTeamList[Team Number],"ERROR",0)</f>
        <v>0</v>
      </c>
      <c r="B124" s="42" t="str">
        <f>_xlfn.XLOOKUP(CoreValuesResults[[#This Row],[Team Number]],OfficialTeamList[Team Number],OfficialTeamList[Team Name],"",0,)</f>
        <v/>
      </c>
      <c r="C124" s="87">
        <f>_xlfn.XLOOKUP(CoreValuesResults[[#This Row],[Team Number]],InnovationProjectResults[Team Number],InnovationProjectResults[Identify - Research (CV)])</f>
        <v>0</v>
      </c>
      <c r="D124" s="87">
        <f>_xlfn.XLOOKUP(CoreValuesResults[[#This Row],[Team Number]],InnovationProjectResults[Team Number],InnovationProjectResults[Design - Teamwork (CV)])</f>
        <v>0</v>
      </c>
      <c r="E124" s="87">
        <f>_xlfn.XLOOKUP(CoreValuesResults[[#This Row],[Team Number]],InnovationProjectResults[Team Number],InnovationProjectResults[Create - Innovation (CV)])</f>
        <v>0</v>
      </c>
      <c r="F124" s="87">
        <f>_xlfn.XLOOKUP(CoreValuesResults[[#This Row],[Team Number]],InnovationProjectResults[Team Number],InnovationProjectResults[Communicate - Impact (CV)])</f>
        <v>0</v>
      </c>
      <c r="G124" s="87">
        <f>_xlfn.XLOOKUP(CoreValuesResults[[#This Row],[Team Number]],InnovationProjectResults[Team Number],InnovationProjectResults[Communicate - Fun (CV)])</f>
        <v>0</v>
      </c>
      <c r="H124" s="87">
        <f>_xlfn.XLOOKUP(CoreValuesResults[[#This Row],[Team Number]],RobotDesignResults[Team Number],RobotDesignResults[Identify - Research (CV)])</f>
        <v>0</v>
      </c>
      <c r="I124" s="87">
        <f>_xlfn.XLOOKUP(CoreValuesResults[[#This Row],[Team Number]],RobotDesignResults[Team Number],RobotDesignResults[Design - Ideas (CV)])</f>
        <v>0</v>
      </c>
      <c r="J124" s="87">
        <f>_xlfn.XLOOKUP(CoreValuesResults[[#This Row],[Team Number]],RobotDesignResults[Team Number],RobotDesignResults[Iterate - Improvements (CV)])</f>
        <v>0</v>
      </c>
      <c r="K124" s="87">
        <f>_xlfn.XLOOKUP(CoreValuesResults[[#This Row],[Team Number]],RobotDesignResults[Team Number],RobotDesignResults[Communicate - Impact (CV)])</f>
        <v>0</v>
      </c>
      <c r="L124" s="87">
        <f>_xlfn.XLOOKUP(CoreValuesResults[[#This Row],[Team Number]],RobotDesignResults[Team Number],RobotDesignResults[Communicate - Fun (CV)])</f>
        <v>0</v>
      </c>
      <c r="M124" s="17"/>
      <c r="N124" s="17"/>
      <c r="O124" s="17"/>
      <c r="P124" s="17"/>
      <c r="Q124" s="17"/>
      <c r="R124" s="12"/>
      <c r="S124" s="12"/>
      <c r="T124" s="12"/>
      <c r="U124" s="83">
        <f>SUM(CoreValuesResults[[#This Row],[Discovery (IP)]:[Fun (RD)]],CoreValuesResults[[#This Row],[Gracious Professionalism Score]])</f>
        <v>0</v>
      </c>
      <c r="V124" s="43">
        <f>IF(CoreValuesResults[[#This Row],[Team Number]]&gt;0,MIN(_xlfn.RANK.EQ(CoreValuesResults[[#This Row],[Core Values Score]],CoreValuesResults[Core Values Score],0),NumberOfTeams),NumberOfTeams+1)</f>
        <v>1</v>
      </c>
      <c r="W124" s="82"/>
      <c r="X124" s="82"/>
      <c r="Y124" s="82"/>
    </row>
    <row r="125" spans="1:25" ht="30" customHeight="1" x14ac:dyDescent="0.45">
      <c r="A125" s="12">
        <f>_xlfn.XLOOKUP(124,OfficialTeamList[Row],OfficialTeamList[Team Number],"ERROR",0)</f>
        <v>0</v>
      </c>
      <c r="B125" s="42" t="str">
        <f>_xlfn.XLOOKUP(CoreValuesResults[[#This Row],[Team Number]],OfficialTeamList[Team Number],OfficialTeamList[Team Name],"",0,)</f>
        <v/>
      </c>
      <c r="C125" s="87">
        <f>_xlfn.XLOOKUP(CoreValuesResults[[#This Row],[Team Number]],InnovationProjectResults[Team Number],InnovationProjectResults[Identify - Research (CV)])</f>
        <v>0</v>
      </c>
      <c r="D125" s="87">
        <f>_xlfn.XLOOKUP(CoreValuesResults[[#This Row],[Team Number]],InnovationProjectResults[Team Number],InnovationProjectResults[Design - Teamwork (CV)])</f>
        <v>0</v>
      </c>
      <c r="E125" s="87">
        <f>_xlfn.XLOOKUP(CoreValuesResults[[#This Row],[Team Number]],InnovationProjectResults[Team Number],InnovationProjectResults[Create - Innovation (CV)])</f>
        <v>0</v>
      </c>
      <c r="F125" s="87">
        <f>_xlfn.XLOOKUP(CoreValuesResults[[#This Row],[Team Number]],InnovationProjectResults[Team Number],InnovationProjectResults[Communicate - Impact (CV)])</f>
        <v>0</v>
      </c>
      <c r="G125" s="87">
        <f>_xlfn.XLOOKUP(CoreValuesResults[[#This Row],[Team Number]],InnovationProjectResults[Team Number],InnovationProjectResults[Communicate - Fun (CV)])</f>
        <v>0</v>
      </c>
      <c r="H125" s="87">
        <f>_xlfn.XLOOKUP(CoreValuesResults[[#This Row],[Team Number]],RobotDesignResults[Team Number],RobotDesignResults[Identify - Research (CV)])</f>
        <v>0</v>
      </c>
      <c r="I125" s="87">
        <f>_xlfn.XLOOKUP(CoreValuesResults[[#This Row],[Team Number]],RobotDesignResults[Team Number],RobotDesignResults[Design - Ideas (CV)])</f>
        <v>0</v>
      </c>
      <c r="J125" s="87">
        <f>_xlfn.XLOOKUP(CoreValuesResults[[#This Row],[Team Number]],RobotDesignResults[Team Number],RobotDesignResults[Iterate - Improvements (CV)])</f>
        <v>0</v>
      </c>
      <c r="K125" s="87">
        <f>_xlfn.XLOOKUP(CoreValuesResults[[#This Row],[Team Number]],RobotDesignResults[Team Number],RobotDesignResults[Communicate - Impact (CV)])</f>
        <v>0</v>
      </c>
      <c r="L125" s="87">
        <f>_xlfn.XLOOKUP(CoreValuesResults[[#This Row],[Team Number]],RobotDesignResults[Team Number],RobotDesignResults[Communicate - Fun (CV)])</f>
        <v>0</v>
      </c>
      <c r="M125" s="17"/>
      <c r="N125" s="17"/>
      <c r="O125" s="17"/>
      <c r="P125" s="17"/>
      <c r="Q125" s="17"/>
      <c r="R125" s="12"/>
      <c r="S125" s="12"/>
      <c r="T125" s="12"/>
      <c r="U125" s="83">
        <f>SUM(CoreValuesResults[[#This Row],[Discovery (IP)]:[Fun (RD)]],CoreValuesResults[[#This Row],[Gracious Professionalism Score]])</f>
        <v>0</v>
      </c>
      <c r="V125" s="43">
        <f>IF(CoreValuesResults[[#This Row],[Team Number]]&gt;0,MIN(_xlfn.RANK.EQ(CoreValuesResults[[#This Row],[Core Values Score]],CoreValuesResults[Core Values Score],0),NumberOfTeams),NumberOfTeams+1)</f>
        <v>1</v>
      </c>
      <c r="W125" s="82"/>
      <c r="X125" s="82"/>
      <c r="Y125" s="82"/>
    </row>
    <row r="126" spans="1:25" ht="30" customHeight="1" x14ac:dyDescent="0.45">
      <c r="A126" s="12">
        <f>_xlfn.XLOOKUP(125,OfficialTeamList[Row],OfficialTeamList[Team Number],"ERROR",0)</f>
        <v>0</v>
      </c>
      <c r="B126" s="42" t="str">
        <f>_xlfn.XLOOKUP(CoreValuesResults[[#This Row],[Team Number]],OfficialTeamList[Team Number],OfficialTeamList[Team Name],"",0,)</f>
        <v/>
      </c>
      <c r="C126" s="87">
        <f>_xlfn.XLOOKUP(CoreValuesResults[[#This Row],[Team Number]],InnovationProjectResults[Team Number],InnovationProjectResults[Identify - Research (CV)])</f>
        <v>0</v>
      </c>
      <c r="D126" s="87">
        <f>_xlfn.XLOOKUP(CoreValuesResults[[#This Row],[Team Number]],InnovationProjectResults[Team Number],InnovationProjectResults[Design - Teamwork (CV)])</f>
        <v>0</v>
      </c>
      <c r="E126" s="87">
        <f>_xlfn.XLOOKUP(CoreValuesResults[[#This Row],[Team Number]],InnovationProjectResults[Team Number],InnovationProjectResults[Create - Innovation (CV)])</f>
        <v>0</v>
      </c>
      <c r="F126" s="87">
        <f>_xlfn.XLOOKUP(CoreValuesResults[[#This Row],[Team Number]],InnovationProjectResults[Team Number],InnovationProjectResults[Communicate - Impact (CV)])</f>
        <v>0</v>
      </c>
      <c r="G126" s="87">
        <f>_xlfn.XLOOKUP(CoreValuesResults[[#This Row],[Team Number]],InnovationProjectResults[Team Number],InnovationProjectResults[Communicate - Fun (CV)])</f>
        <v>0</v>
      </c>
      <c r="H126" s="87">
        <f>_xlfn.XLOOKUP(CoreValuesResults[[#This Row],[Team Number]],RobotDesignResults[Team Number],RobotDesignResults[Identify - Research (CV)])</f>
        <v>0</v>
      </c>
      <c r="I126" s="87">
        <f>_xlfn.XLOOKUP(CoreValuesResults[[#This Row],[Team Number]],RobotDesignResults[Team Number],RobotDesignResults[Design - Ideas (CV)])</f>
        <v>0</v>
      </c>
      <c r="J126" s="87">
        <f>_xlfn.XLOOKUP(CoreValuesResults[[#This Row],[Team Number]],RobotDesignResults[Team Number],RobotDesignResults[Iterate - Improvements (CV)])</f>
        <v>0</v>
      </c>
      <c r="K126" s="87">
        <f>_xlfn.XLOOKUP(CoreValuesResults[[#This Row],[Team Number]],RobotDesignResults[Team Number],RobotDesignResults[Communicate - Impact (CV)])</f>
        <v>0</v>
      </c>
      <c r="L126" s="87">
        <f>_xlfn.XLOOKUP(CoreValuesResults[[#This Row],[Team Number]],RobotDesignResults[Team Number],RobotDesignResults[Communicate - Fun (CV)])</f>
        <v>0</v>
      </c>
      <c r="M126" s="17"/>
      <c r="N126" s="17"/>
      <c r="O126" s="17"/>
      <c r="P126" s="17"/>
      <c r="Q126" s="17"/>
      <c r="R126" s="12"/>
      <c r="S126" s="12"/>
      <c r="T126" s="12"/>
      <c r="U126" s="83">
        <f>SUM(CoreValuesResults[[#This Row],[Discovery (IP)]:[Fun (RD)]],CoreValuesResults[[#This Row],[Gracious Professionalism Score]])</f>
        <v>0</v>
      </c>
      <c r="V126" s="43">
        <f>IF(CoreValuesResults[[#This Row],[Team Number]]&gt;0,MIN(_xlfn.RANK.EQ(CoreValuesResults[[#This Row],[Core Values Score]],CoreValuesResults[Core Values Score],0),NumberOfTeams),NumberOfTeams+1)</f>
        <v>1</v>
      </c>
      <c r="W126" s="82"/>
      <c r="X126" s="82"/>
      <c r="Y126" s="82"/>
    </row>
    <row r="127" spans="1:25" ht="30" customHeight="1" x14ac:dyDescent="0.45">
      <c r="A127" s="12">
        <f>_xlfn.XLOOKUP(126,OfficialTeamList[Row],OfficialTeamList[Team Number],"ERROR",0)</f>
        <v>0</v>
      </c>
      <c r="B127" s="42" t="str">
        <f>_xlfn.XLOOKUP(CoreValuesResults[[#This Row],[Team Number]],OfficialTeamList[Team Number],OfficialTeamList[Team Name],"",0,)</f>
        <v/>
      </c>
      <c r="C127" s="87">
        <f>_xlfn.XLOOKUP(CoreValuesResults[[#This Row],[Team Number]],InnovationProjectResults[Team Number],InnovationProjectResults[Identify - Research (CV)])</f>
        <v>0</v>
      </c>
      <c r="D127" s="87">
        <f>_xlfn.XLOOKUP(CoreValuesResults[[#This Row],[Team Number]],InnovationProjectResults[Team Number],InnovationProjectResults[Design - Teamwork (CV)])</f>
        <v>0</v>
      </c>
      <c r="E127" s="87">
        <f>_xlfn.XLOOKUP(CoreValuesResults[[#This Row],[Team Number]],InnovationProjectResults[Team Number],InnovationProjectResults[Create - Innovation (CV)])</f>
        <v>0</v>
      </c>
      <c r="F127" s="87">
        <f>_xlfn.XLOOKUP(CoreValuesResults[[#This Row],[Team Number]],InnovationProjectResults[Team Number],InnovationProjectResults[Communicate - Impact (CV)])</f>
        <v>0</v>
      </c>
      <c r="G127" s="87">
        <f>_xlfn.XLOOKUP(CoreValuesResults[[#This Row],[Team Number]],InnovationProjectResults[Team Number],InnovationProjectResults[Communicate - Fun (CV)])</f>
        <v>0</v>
      </c>
      <c r="H127" s="87">
        <f>_xlfn.XLOOKUP(CoreValuesResults[[#This Row],[Team Number]],RobotDesignResults[Team Number],RobotDesignResults[Identify - Research (CV)])</f>
        <v>0</v>
      </c>
      <c r="I127" s="87">
        <f>_xlfn.XLOOKUP(CoreValuesResults[[#This Row],[Team Number]],RobotDesignResults[Team Number],RobotDesignResults[Design - Ideas (CV)])</f>
        <v>0</v>
      </c>
      <c r="J127" s="87">
        <f>_xlfn.XLOOKUP(CoreValuesResults[[#This Row],[Team Number]],RobotDesignResults[Team Number],RobotDesignResults[Iterate - Improvements (CV)])</f>
        <v>0</v>
      </c>
      <c r="K127" s="87">
        <f>_xlfn.XLOOKUP(CoreValuesResults[[#This Row],[Team Number]],RobotDesignResults[Team Number],RobotDesignResults[Communicate - Impact (CV)])</f>
        <v>0</v>
      </c>
      <c r="L127" s="87">
        <f>_xlfn.XLOOKUP(CoreValuesResults[[#This Row],[Team Number]],RobotDesignResults[Team Number],RobotDesignResults[Communicate - Fun (CV)])</f>
        <v>0</v>
      </c>
      <c r="M127" s="17"/>
      <c r="N127" s="17"/>
      <c r="O127" s="17"/>
      <c r="P127" s="17"/>
      <c r="Q127" s="17"/>
      <c r="R127" s="12"/>
      <c r="S127" s="12"/>
      <c r="T127" s="12"/>
      <c r="U127" s="83">
        <f>SUM(CoreValuesResults[[#This Row],[Discovery (IP)]:[Fun (RD)]],CoreValuesResults[[#This Row],[Gracious Professionalism Score]])</f>
        <v>0</v>
      </c>
      <c r="V127" s="43">
        <f>IF(CoreValuesResults[[#This Row],[Team Number]]&gt;0,MIN(_xlfn.RANK.EQ(CoreValuesResults[[#This Row],[Core Values Score]],CoreValuesResults[Core Values Score],0),NumberOfTeams),NumberOfTeams+1)</f>
        <v>1</v>
      </c>
      <c r="W127" s="82"/>
      <c r="X127" s="82"/>
      <c r="Y127" s="82"/>
    </row>
    <row r="128" spans="1:25" ht="30" customHeight="1" x14ac:dyDescent="0.45">
      <c r="A128" s="12">
        <f>_xlfn.XLOOKUP(127,OfficialTeamList[Row],OfficialTeamList[Team Number],"ERROR",0)</f>
        <v>0</v>
      </c>
      <c r="B128" s="42" t="str">
        <f>_xlfn.XLOOKUP(CoreValuesResults[[#This Row],[Team Number]],OfficialTeamList[Team Number],OfficialTeamList[Team Name],"",0,)</f>
        <v/>
      </c>
      <c r="C128" s="87">
        <f>_xlfn.XLOOKUP(CoreValuesResults[[#This Row],[Team Number]],InnovationProjectResults[Team Number],InnovationProjectResults[Identify - Research (CV)])</f>
        <v>0</v>
      </c>
      <c r="D128" s="87">
        <f>_xlfn.XLOOKUP(CoreValuesResults[[#This Row],[Team Number]],InnovationProjectResults[Team Number],InnovationProjectResults[Design - Teamwork (CV)])</f>
        <v>0</v>
      </c>
      <c r="E128" s="87">
        <f>_xlfn.XLOOKUP(CoreValuesResults[[#This Row],[Team Number]],InnovationProjectResults[Team Number],InnovationProjectResults[Create - Innovation (CV)])</f>
        <v>0</v>
      </c>
      <c r="F128" s="87">
        <f>_xlfn.XLOOKUP(CoreValuesResults[[#This Row],[Team Number]],InnovationProjectResults[Team Number],InnovationProjectResults[Communicate - Impact (CV)])</f>
        <v>0</v>
      </c>
      <c r="G128" s="87">
        <f>_xlfn.XLOOKUP(CoreValuesResults[[#This Row],[Team Number]],InnovationProjectResults[Team Number],InnovationProjectResults[Communicate - Fun (CV)])</f>
        <v>0</v>
      </c>
      <c r="H128" s="87">
        <f>_xlfn.XLOOKUP(CoreValuesResults[[#This Row],[Team Number]],RobotDesignResults[Team Number],RobotDesignResults[Identify - Research (CV)])</f>
        <v>0</v>
      </c>
      <c r="I128" s="87">
        <f>_xlfn.XLOOKUP(CoreValuesResults[[#This Row],[Team Number]],RobotDesignResults[Team Number],RobotDesignResults[Design - Ideas (CV)])</f>
        <v>0</v>
      </c>
      <c r="J128" s="87">
        <f>_xlfn.XLOOKUP(CoreValuesResults[[#This Row],[Team Number]],RobotDesignResults[Team Number],RobotDesignResults[Iterate - Improvements (CV)])</f>
        <v>0</v>
      </c>
      <c r="K128" s="87">
        <f>_xlfn.XLOOKUP(CoreValuesResults[[#This Row],[Team Number]],RobotDesignResults[Team Number],RobotDesignResults[Communicate - Impact (CV)])</f>
        <v>0</v>
      </c>
      <c r="L128" s="87">
        <f>_xlfn.XLOOKUP(CoreValuesResults[[#This Row],[Team Number]],RobotDesignResults[Team Number],RobotDesignResults[Communicate - Fun (CV)])</f>
        <v>0</v>
      </c>
      <c r="M128" s="17"/>
      <c r="N128" s="17"/>
      <c r="O128" s="17"/>
      <c r="P128" s="17"/>
      <c r="Q128" s="17"/>
      <c r="R128" s="12"/>
      <c r="S128" s="12"/>
      <c r="T128" s="12"/>
      <c r="U128" s="83">
        <f>SUM(CoreValuesResults[[#This Row],[Discovery (IP)]:[Fun (RD)]],CoreValuesResults[[#This Row],[Gracious Professionalism Score]])</f>
        <v>0</v>
      </c>
      <c r="V128" s="43">
        <f>IF(CoreValuesResults[[#This Row],[Team Number]]&gt;0,MIN(_xlfn.RANK.EQ(CoreValuesResults[[#This Row],[Core Values Score]],CoreValuesResults[Core Values Score],0),NumberOfTeams),NumberOfTeams+1)</f>
        <v>1</v>
      </c>
      <c r="W128" s="82"/>
      <c r="X128" s="82"/>
      <c r="Y128" s="82"/>
    </row>
    <row r="129" spans="1:25" ht="30" customHeight="1" x14ac:dyDescent="0.45">
      <c r="A129" s="12">
        <f>_xlfn.XLOOKUP(128,OfficialTeamList[Row],OfficialTeamList[Team Number],"ERROR",0)</f>
        <v>0</v>
      </c>
      <c r="B129" s="42" t="str">
        <f>_xlfn.XLOOKUP(CoreValuesResults[[#This Row],[Team Number]],OfficialTeamList[Team Number],OfficialTeamList[Team Name],"",0,)</f>
        <v/>
      </c>
      <c r="C129" s="87">
        <f>_xlfn.XLOOKUP(CoreValuesResults[[#This Row],[Team Number]],InnovationProjectResults[Team Number],InnovationProjectResults[Identify - Research (CV)])</f>
        <v>0</v>
      </c>
      <c r="D129" s="87">
        <f>_xlfn.XLOOKUP(CoreValuesResults[[#This Row],[Team Number]],InnovationProjectResults[Team Number],InnovationProjectResults[Design - Teamwork (CV)])</f>
        <v>0</v>
      </c>
      <c r="E129" s="87">
        <f>_xlfn.XLOOKUP(CoreValuesResults[[#This Row],[Team Number]],InnovationProjectResults[Team Number],InnovationProjectResults[Create - Innovation (CV)])</f>
        <v>0</v>
      </c>
      <c r="F129" s="87">
        <f>_xlfn.XLOOKUP(CoreValuesResults[[#This Row],[Team Number]],InnovationProjectResults[Team Number],InnovationProjectResults[Communicate - Impact (CV)])</f>
        <v>0</v>
      </c>
      <c r="G129" s="87">
        <f>_xlfn.XLOOKUP(CoreValuesResults[[#This Row],[Team Number]],InnovationProjectResults[Team Number],InnovationProjectResults[Communicate - Fun (CV)])</f>
        <v>0</v>
      </c>
      <c r="H129" s="87">
        <f>_xlfn.XLOOKUP(CoreValuesResults[[#This Row],[Team Number]],RobotDesignResults[Team Number],RobotDesignResults[Identify - Research (CV)])</f>
        <v>0</v>
      </c>
      <c r="I129" s="87">
        <f>_xlfn.XLOOKUP(CoreValuesResults[[#This Row],[Team Number]],RobotDesignResults[Team Number],RobotDesignResults[Design - Ideas (CV)])</f>
        <v>0</v>
      </c>
      <c r="J129" s="87">
        <f>_xlfn.XLOOKUP(CoreValuesResults[[#This Row],[Team Number]],RobotDesignResults[Team Number],RobotDesignResults[Iterate - Improvements (CV)])</f>
        <v>0</v>
      </c>
      <c r="K129" s="87">
        <f>_xlfn.XLOOKUP(CoreValuesResults[[#This Row],[Team Number]],RobotDesignResults[Team Number],RobotDesignResults[Communicate - Impact (CV)])</f>
        <v>0</v>
      </c>
      <c r="L129" s="87">
        <f>_xlfn.XLOOKUP(CoreValuesResults[[#This Row],[Team Number]],RobotDesignResults[Team Number],RobotDesignResults[Communicate - Fun (CV)])</f>
        <v>0</v>
      </c>
      <c r="M129" s="17"/>
      <c r="N129" s="17"/>
      <c r="O129" s="17"/>
      <c r="P129" s="17"/>
      <c r="Q129" s="17"/>
      <c r="R129" s="12"/>
      <c r="S129" s="12"/>
      <c r="T129" s="12"/>
      <c r="U129" s="83">
        <f>SUM(CoreValuesResults[[#This Row],[Discovery (IP)]:[Fun (RD)]],CoreValuesResults[[#This Row],[Gracious Professionalism Score]])</f>
        <v>0</v>
      </c>
      <c r="V129" s="43">
        <f>IF(CoreValuesResults[[#This Row],[Team Number]]&gt;0,MIN(_xlfn.RANK.EQ(CoreValuesResults[[#This Row],[Core Values Score]],CoreValuesResults[Core Values Score],0),NumberOfTeams),NumberOfTeams+1)</f>
        <v>1</v>
      </c>
      <c r="W129" s="82"/>
      <c r="X129" s="82"/>
      <c r="Y129" s="82"/>
    </row>
    <row r="130" spans="1:25" ht="30" customHeight="1" x14ac:dyDescent="0.45">
      <c r="A130" s="12">
        <f>_xlfn.XLOOKUP(129,OfficialTeamList[Row],OfficialTeamList[Team Number],"ERROR",0)</f>
        <v>0</v>
      </c>
      <c r="B130" s="42" t="str">
        <f>_xlfn.XLOOKUP(CoreValuesResults[[#This Row],[Team Number]],OfficialTeamList[Team Number],OfficialTeamList[Team Name],"",0,)</f>
        <v/>
      </c>
      <c r="C130" s="87">
        <f>_xlfn.XLOOKUP(CoreValuesResults[[#This Row],[Team Number]],InnovationProjectResults[Team Number],InnovationProjectResults[Identify - Research (CV)])</f>
        <v>0</v>
      </c>
      <c r="D130" s="87">
        <f>_xlfn.XLOOKUP(CoreValuesResults[[#This Row],[Team Number]],InnovationProjectResults[Team Number],InnovationProjectResults[Design - Teamwork (CV)])</f>
        <v>0</v>
      </c>
      <c r="E130" s="87">
        <f>_xlfn.XLOOKUP(CoreValuesResults[[#This Row],[Team Number]],InnovationProjectResults[Team Number],InnovationProjectResults[Create - Innovation (CV)])</f>
        <v>0</v>
      </c>
      <c r="F130" s="87">
        <f>_xlfn.XLOOKUP(CoreValuesResults[[#This Row],[Team Number]],InnovationProjectResults[Team Number],InnovationProjectResults[Communicate - Impact (CV)])</f>
        <v>0</v>
      </c>
      <c r="G130" s="87">
        <f>_xlfn.XLOOKUP(CoreValuesResults[[#This Row],[Team Number]],InnovationProjectResults[Team Number],InnovationProjectResults[Communicate - Fun (CV)])</f>
        <v>0</v>
      </c>
      <c r="H130" s="87">
        <f>_xlfn.XLOOKUP(CoreValuesResults[[#This Row],[Team Number]],RobotDesignResults[Team Number],RobotDesignResults[Identify - Research (CV)])</f>
        <v>0</v>
      </c>
      <c r="I130" s="87">
        <f>_xlfn.XLOOKUP(CoreValuesResults[[#This Row],[Team Number]],RobotDesignResults[Team Number],RobotDesignResults[Design - Ideas (CV)])</f>
        <v>0</v>
      </c>
      <c r="J130" s="87">
        <f>_xlfn.XLOOKUP(CoreValuesResults[[#This Row],[Team Number]],RobotDesignResults[Team Number],RobotDesignResults[Iterate - Improvements (CV)])</f>
        <v>0</v>
      </c>
      <c r="K130" s="87">
        <f>_xlfn.XLOOKUP(CoreValuesResults[[#This Row],[Team Number]],RobotDesignResults[Team Number],RobotDesignResults[Communicate - Impact (CV)])</f>
        <v>0</v>
      </c>
      <c r="L130" s="87">
        <f>_xlfn.XLOOKUP(CoreValuesResults[[#This Row],[Team Number]],RobotDesignResults[Team Number],RobotDesignResults[Communicate - Fun (CV)])</f>
        <v>0</v>
      </c>
      <c r="M130" s="17"/>
      <c r="N130" s="17"/>
      <c r="O130" s="17"/>
      <c r="P130" s="17"/>
      <c r="Q130" s="17"/>
      <c r="R130" s="12"/>
      <c r="S130" s="12"/>
      <c r="T130" s="12"/>
      <c r="U130" s="83">
        <f>SUM(CoreValuesResults[[#This Row],[Discovery (IP)]:[Fun (RD)]],CoreValuesResults[[#This Row],[Gracious Professionalism Score]])</f>
        <v>0</v>
      </c>
      <c r="V130" s="43">
        <f>IF(CoreValuesResults[[#This Row],[Team Number]]&gt;0,MIN(_xlfn.RANK.EQ(CoreValuesResults[[#This Row],[Core Values Score]],CoreValuesResults[Core Values Score],0),NumberOfTeams),NumberOfTeams+1)</f>
        <v>1</v>
      </c>
      <c r="W130" s="82"/>
      <c r="X130" s="82"/>
      <c r="Y130" s="82"/>
    </row>
    <row r="131" spans="1:25" ht="30" customHeight="1" x14ac:dyDescent="0.45">
      <c r="A131" s="12">
        <f>_xlfn.XLOOKUP(130,OfficialTeamList[Row],OfficialTeamList[Team Number],"ERROR",0)</f>
        <v>0</v>
      </c>
      <c r="B131" s="42" t="str">
        <f>_xlfn.XLOOKUP(CoreValuesResults[[#This Row],[Team Number]],OfficialTeamList[Team Number],OfficialTeamList[Team Name],"",0,)</f>
        <v/>
      </c>
      <c r="C131" s="87">
        <f>_xlfn.XLOOKUP(CoreValuesResults[[#This Row],[Team Number]],InnovationProjectResults[Team Number],InnovationProjectResults[Identify - Research (CV)])</f>
        <v>0</v>
      </c>
      <c r="D131" s="87">
        <f>_xlfn.XLOOKUP(CoreValuesResults[[#This Row],[Team Number]],InnovationProjectResults[Team Number],InnovationProjectResults[Design - Teamwork (CV)])</f>
        <v>0</v>
      </c>
      <c r="E131" s="87">
        <f>_xlfn.XLOOKUP(CoreValuesResults[[#This Row],[Team Number]],InnovationProjectResults[Team Number],InnovationProjectResults[Create - Innovation (CV)])</f>
        <v>0</v>
      </c>
      <c r="F131" s="87">
        <f>_xlfn.XLOOKUP(CoreValuesResults[[#This Row],[Team Number]],InnovationProjectResults[Team Number],InnovationProjectResults[Communicate - Impact (CV)])</f>
        <v>0</v>
      </c>
      <c r="G131" s="87">
        <f>_xlfn.XLOOKUP(CoreValuesResults[[#This Row],[Team Number]],InnovationProjectResults[Team Number],InnovationProjectResults[Communicate - Fun (CV)])</f>
        <v>0</v>
      </c>
      <c r="H131" s="87">
        <f>_xlfn.XLOOKUP(CoreValuesResults[[#This Row],[Team Number]],RobotDesignResults[Team Number],RobotDesignResults[Identify - Research (CV)])</f>
        <v>0</v>
      </c>
      <c r="I131" s="87">
        <f>_xlfn.XLOOKUP(CoreValuesResults[[#This Row],[Team Number]],RobotDesignResults[Team Number],RobotDesignResults[Design - Ideas (CV)])</f>
        <v>0</v>
      </c>
      <c r="J131" s="87">
        <f>_xlfn.XLOOKUP(CoreValuesResults[[#This Row],[Team Number]],RobotDesignResults[Team Number],RobotDesignResults[Iterate - Improvements (CV)])</f>
        <v>0</v>
      </c>
      <c r="K131" s="87">
        <f>_xlfn.XLOOKUP(CoreValuesResults[[#This Row],[Team Number]],RobotDesignResults[Team Number],RobotDesignResults[Communicate - Impact (CV)])</f>
        <v>0</v>
      </c>
      <c r="L131" s="87">
        <f>_xlfn.XLOOKUP(CoreValuesResults[[#This Row],[Team Number]],RobotDesignResults[Team Number],RobotDesignResults[Communicate - Fun (CV)])</f>
        <v>0</v>
      </c>
      <c r="M131" s="17"/>
      <c r="N131" s="17"/>
      <c r="O131" s="17"/>
      <c r="P131" s="17"/>
      <c r="Q131" s="17"/>
      <c r="R131" s="12"/>
      <c r="S131" s="12"/>
      <c r="T131" s="12"/>
      <c r="U131" s="83">
        <f>SUM(CoreValuesResults[[#This Row],[Discovery (IP)]:[Fun (RD)]],CoreValuesResults[[#This Row],[Gracious Professionalism Score]])</f>
        <v>0</v>
      </c>
      <c r="V131" s="43">
        <f>IF(CoreValuesResults[[#This Row],[Team Number]]&gt;0,MIN(_xlfn.RANK.EQ(CoreValuesResults[[#This Row],[Core Values Score]],CoreValuesResults[Core Values Score],0),NumberOfTeams),NumberOfTeams+1)</f>
        <v>1</v>
      </c>
      <c r="W131" s="82"/>
      <c r="X131" s="82"/>
      <c r="Y131" s="82"/>
    </row>
    <row r="132" spans="1:25" ht="30" customHeight="1" x14ac:dyDescent="0.45">
      <c r="A132" s="12">
        <f>_xlfn.XLOOKUP(131,OfficialTeamList[Row],OfficialTeamList[Team Number],"ERROR",0)</f>
        <v>0</v>
      </c>
      <c r="B132" s="42" t="str">
        <f>_xlfn.XLOOKUP(CoreValuesResults[[#This Row],[Team Number]],OfficialTeamList[Team Number],OfficialTeamList[Team Name],"",0,)</f>
        <v/>
      </c>
      <c r="C132" s="87">
        <f>_xlfn.XLOOKUP(CoreValuesResults[[#This Row],[Team Number]],InnovationProjectResults[Team Number],InnovationProjectResults[Identify - Research (CV)])</f>
        <v>0</v>
      </c>
      <c r="D132" s="87">
        <f>_xlfn.XLOOKUP(CoreValuesResults[[#This Row],[Team Number]],InnovationProjectResults[Team Number],InnovationProjectResults[Design - Teamwork (CV)])</f>
        <v>0</v>
      </c>
      <c r="E132" s="87">
        <f>_xlfn.XLOOKUP(CoreValuesResults[[#This Row],[Team Number]],InnovationProjectResults[Team Number],InnovationProjectResults[Create - Innovation (CV)])</f>
        <v>0</v>
      </c>
      <c r="F132" s="87">
        <f>_xlfn.XLOOKUP(CoreValuesResults[[#This Row],[Team Number]],InnovationProjectResults[Team Number],InnovationProjectResults[Communicate - Impact (CV)])</f>
        <v>0</v>
      </c>
      <c r="G132" s="87">
        <f>_xlfn.XLOOKUP(CoreValuesResults[[#This Row],[Team Number]],InnovationProjectResults[Team Number],InnovationProjectResults[Communicate - Fun (CV)])</f>
        <v>0</v>
      </c>
      <c r="H132" s="87">
        <f>_xlfn.XLOOKUP(CoreValuesResults[[#This Row],[Team Number]],RobotDesignResults[Team Number],RobotDesignResults[Identify - Research (CV)])</f>
        <v>0</v>
      </c>
      <c r="I132" s="87">
        <f>_xlfn.XLOOKUP(CoreValuesResults[[#This Row],[Team Number]],RobotDesignResults[Team Number],RobotDesignResults[Design - Ideas (CV)])</f>
        <v>0</v>
      </c>
      <c r="J132" s="87">
        <f>_xlfn.XLOOKUP(CoreValuesResults[[#This Row],[Team Number]],RobotDesignResults[Team Number],RobotDesignResults[Iterate - Improvements (CV)])</f>
        <v>0</v>
      </c>
      <c r="K132" s="87">
        <f>_xlfn.XLOOKUP(CoreValuesResults[[#This Row],[Team Number]],RobotDesignResults[Team Number],RobotDesignResults[Communicate - Impact (CV)])</f>
        <v>0</v>
      </c>
      <c r="L132" s="87">
        <f>_xlfn.XLOOKUP(CoreValuesResults[[#This Row],[Team Number]],RobotDesignResults[Team Number],RobotDesignResults[Communicate - Fun (CV)])</f>
        <v>0</v>
      </c>
      <c r="M132" s="17"/>
      <c r="N132" s="17"/>
      <c r="O132" s="17"/>
      <c r="P132" s="17"/>
      <c r="Q132" s="17"/>
      <c r="R132" s="12"/>
      <c r="S132" s="12"/>
      <c r="T132" s="12"/>
      <c r="U132" s="83">
        <f>SUM(CoreValuesResults[[#This Row],[Discovery (IP)]:[Fun (RD)]],CoreValuesResults[[#This Row],[Gracious Professionalism Score]])</f>
        <v>0</v>
      </c>
      <c r="V132" s="43">
        <f>IF(CoreValuesResults[[#This Row],[Team Number]]&gt;0,MIN(_xlfn.RANK.EQ(CoreValuesResults[[#This Row],[Core Values Score]],CoreValuesResults[Core Values Score],0),NumberOfTeams),NumberOfTeams+1)</f>
        <v>1</v>
      </c>
      <c r="W132" s="82"/>
      <c r="X132" s="82"/>
      <c r="Y132" s="82"/>
    </row>
    <row r="133" spans="1:25" ht="30" customHeight="1" x14ac:dyDescent="0.45">
      <c r="A133" s="12">
        <f>_xlfn.XLOOKUP(132,OfficialTeamList[Row],OfficialTeamList[Team Number],"ERROR",0)</f>
        <v>0</v>
      </c>
      <c r="B133" s="42" t="str">
        <f>_xlfn.XLOOKUP(CoreValuesResults[[#This Row],[Team Number]],OfficialTeamList[Team Number],OfficialTeamList[Team Name],"",0,)</f>
        <v/>
      </c>
      <c r="C133" s="87">
        <f>_xlfn.XLOOKUP(CoreValuesResults[[#This Row],[Team Number]],InnovationProjectResults[Team Number],InnovationProjectResults[Identify - Research (CV)])</f>
        <v>0</v>
      </c>
      <c r="D133" s="87">
        <f>_xlfn.XLOOKUP(CoreValuesResults[[#This Row],[Team Number]],InnovationProjectResults[Team Number],InnovationProjectResults[Design - Teamwork (CV)])</f>
        <v>0</v>
      </c>
      <c r="E133" s="87">
        <f>_xlfn.XLOOKUP(CoreValuesResults[[#This Row],[Team Number]],InnovationProjectResults[Team Number],InnovationProjectResults[Create - Innovation (CV)])</f>
        <v>0</v>
      </c>
      <c r="F133" s="87">
        <f>_xlfn.XLOOKUP(CoreValuesResults[[#This Row],[Team Number]],InnovationProjectResults[Team Number],InnovationProjectResults[Communicate - Impact (CV)])</f>
        <v>0</v>
      </c>
      <c r="G133" s="87">
        <f>_xlfn.XLOOKUP(CoreValuesResults[[#This Row],[Team Number]],InnovationProjectResults[Team Number],InnovationProjectResults[Communicate - Fun (CV)])</f>
        <v>0</v>
      </c>
      <c r="H133" s="87">
        <f>_xlfn.XLOOKUP(CoreValuesResults[[#This Row],[Team Number]],RobotDesignResults[Team Number],RobotDesignResults[Identify - Research (CV)])</f>
        <v>0</v>
      </c>
      <c r="I133" s="87">
        <f>_xlfn.XLOOKUP(CoreValuesResults[[#This Row],[Team Number]],RobotDesignResults[Team Number],RobotDesignResults[Design - Ideas (CV)])</f>
        <v>0</v>
      </c>
      <c r="J133" s="87">
        <f>_xlfn.XLOOKUP(CoreValuesResults[[#This Row],[Team Number]],RobotDesignResults[Team Number],RobotDesignResults[Iterate - Improvements (CV)])</f>
        <v>0</v>
      </c>
      <c r="K133" s="87">
        <f>_xlfn.XLOOKUP(CoreValuesResults[[#This Row],[Team Number]],RobotDesignResults[Team Number],RobotDesignResults[Communicate - Impact (CV)])</f>
        <v>0</v>
      </c>
      <c r="L133" s="87">
        <f>_xlfn.XLOOKUP(CoreValuesResults[[#This Row],[Team Number]],RobotDesignResults[Team Number],RobotDesignResults[Communicate - Fun (CV)])</f>
        <v>0</v>
      </c>
      <c r="M133" s="17"/>
      <c r="N133" s="17"/>
      <c r="O133" s="17"/>
      <c r="P133" s="17"/>
      <c r="Q133" s="17"/>
      <c r="R133" s="12"/>
      <c r="S133" s="12"/>
      <c r="T133" s="12"/>
      <c r="U133" s="83">
        <f>SUM(CoreValuesResults[[#This Row],[Discovery (IP)]:[Fun (RD)]],CoreValuesResults[[#This Row],[Gracious Professionalism Score]])</f>
        <v>0</v>
      </c>
      <c r="V133" s="43">
        <f>IF(CoreValuesResults[[#This Row],[Team Number]]&gt;0,MIN(_xlfn.RANK.EQ(CoreValuesResults[[#This Row],[Core Values Score]],CoreValuesResults[Core Values Score],0),NumberOfTeams),NumberOfTeams+1)</f>
        <v>1</v>
      </c>
      <c r="W133" s="82"/>
      <c r="X133" s="82"/>
      <c r="Y133" s="82"/>
    </row>
    <row r="134" spans="1:25" ht="30" customHeight="1" x14ac:dyDescent="0.45">
      <c r="A134" s="12">
        <f>_xlfn.XLOOKUP(133,OfficialTeamList[Row],OfficialTeamList[Team Number],"ERROR",0)</f>
        <v>0</v>
      </c>
      <c r="B134" s="42" t="str">
        <f>_xlfn.XLOOKUP(CoreValuesResults[[#This Row],[Team Number]],OfficialTeamList[Team Number],OfficialTeamList[Team Name],"",0,)</f>
        <v/>
      </c>
      <c r="C134" s="87">
        <f>_xlfn.XLOOKUP(CoreValuesResults[[#This Row],[Team Number]],InnovationProjectResults[Team Number],InnovationProjectResults[Identify - Research (CV)])</f>
        <v>0</v>
      </c>
      <c r="D134" s="87">
        <f>_xlfn.XLOOKUP(CoreValuesResults[[#This Row],[Team Number]],InnovationProjectResults[Team Number],InnovationProjectResults[Design - Teamwork (CV)])</f>
        <v>0</v>
      </c>
      <c r="E134" s="87">
        <f>_xlfn.XLOOKUP(CoreValuesResults[[#This Row],[Team Number]],InnovationProjectResults[Team Number],InnovationProjectResults[Create - Innovation (CV)])</f>
        <v>0</v>
      </c>
      <c r="F134" s="87">
        <f>_xlfn.XLOOKUP(CoreValuesResults[[#This Row],[Team Number]],InnovationProjectResults[Team Number],InnovationProjectResults[Communicate - Impact (CV)])</f>
        <v>0</v>
      </c>
      <c r="G134" s="87">
        <f>_xlfn.XLOOKUP(CoreValuesResults[[#This Row],[Team Number]],InnovationProjectResults[Team Number],InnovationProjectResults[Communicate - Fun (CV)])</f>
        <v>0</v>
      </c>
      <c r="H134" s="87">
        <f>_xlfn.XLOOKUP(CoreValuesResults[[#This Row],[Team Number]],RobotDesignResults[Team Number],RobotDesignResults[Identify - Research (CV)])</f>
        <v>0</v>
      </c>
      <c r="I134" s="87">
        <f>_xlfn.XLOOKUP(CoreValuesResults[[#This Row],[Team Number]],RobotDesignResults[Team Number],RobotDesignResults[Design - Ideas (CV)])</f>
        <v>0</v>
      </c>
      <c r="J134" s="87">
        <f>_xlfn.XLOOKUP(CoreValuesResults[[#This Row],[Team Number]],RobotDesignResults[Team Number],RobotDesignResults[Iterate - Improvements (CV)])</f>
        <v>0</v>
      </c>
      <c r="K134" s="87">
        <f>_xlfn.XLOOKUP(CoreValuesResults[[#This Row],[Team Number]],RobotDesignResults[Team Number],RobotDesignResults[Communicate - Impact (CV)])</f>
        <v>0</v>
      </c>
      <c r="L134" s="87">
        <f>_xlfn.XLOOKUP(CoreValuesResults[[#This Row],[Team Number]],RobotDesignResults[Team Number],RobotDesignResults[Communicate - Fun (CV)])</f>
        <v>0</v>
      </c>
      <c r="M134" s="17"/>
      <c r="N134" s="17"/>
      <c r="O134" s="17"/>
      <c r="P134" s="17"/>
      <c r="Q134" s="17"/>
      <c r="R134" s="12"/>
      <c r="S134" s="12"/>
      <c r="T134" s="12"/>
      <c r="U134" s="83">
        <f>SUM(CoreValuesResults[[#This Row],[Discovery (IP)]:[Fun (RD)]],CoreValuesResults[[#This Row],[Gracious Professionalism Score]])</f>
        <v>0</v>
      </c>
      <c r="V134" s="43">
        <f>IF(CoreValuesResults[[#This Row],[Team Number]]&gt;0,MIN(_xlfn.RANK.EQ(CoreValuesResults[[#This Row],[Core Values Score]],CoreValuesResults[Core Values Score],0),NumberOfTeams),NumberOfTeams+1)</f>
        <v>1</v>
      </c>
      <c r="W134" s="82"/>
      <c r="X134" s="82"/>
      <c r="Y134" s="82"/>
    </row>
    <row r="135" spans="1:25" ht="30" customHeight="1" x14ac:dyDescent="0.45">
      <c r="A135" s="12">
        <f>_xlfn.XLOOKUP(134,OfficialTeamList[Row],OfficialTeamList[Team Number],"ERROR",0)</f>
        <v>0</v>
      </c>
      <c r="B135" s="42" t="str">
        <f>_xlfn.XLOOKUP(CoreValuesResults[[#This Row],[Team Number]],OfficialTeamList[Team Number],OfficialTeamList[Team Name],"",0,)</f>
        <v/>
      </c>
      <c r="C135" s="87">
        <f>_xlfn.XLOOKUP(CoreValuesResults[[#This Row],[Team Number]],InnovationProjectResults[Team Number],InnovationProjectResults[Identify - Research (CV)])</f>
        <v>0</v>
      </c>
      <c r="D135" s="87">
        <f>_xlfn.XLOOKUP(CoreValuesResults[[#This Row],[Team Number]],InnovationProjectResults[Team Number],InnovationProjectResults[Design - Teamwork (CV)])</f>
        <v>0</v>
      </c>
      <c r="E135" s="87">
        <f>_xlfn.XLOOKUP(CoreValuesResults[[#This Row],[Team Number]],InnovationProjectResults[Team Number],InnovationProjectResults[Create - Innovation (CV)])</f>
        <v>0</v>
      </c>
      <c r="F135" s="87">
        <f>_xlfn.XLOOKUP(CoreValuesResults[[#This Row],[Team Number]],InnovationProjectResults[Team Number],InnovationProjectResults[Communicate - Impact (CV)])</f>
        <v>0</v>
      </c>
      <c r="G135" s="87">
        <f>_xlfn.XLOOKUP(CoreValuesResults[[#This Row],[Team Number]],InnovationProjectResults[Team Number],InnovationProjectResults[Communicate - Fun (CV)])</f>
        <v>0</v>
      </c>
      <c r="H135" s="87">
        <f>_xlfn.XLOOKUP(CoreValuesResults[[#This Row],[Team Number]],RobotDesignResults[Team Number],RobotDesignResults[Identify - Research (CV)])</f>
        <v>0</v>
      </c>
      <c r="I135" s="87">
        <f>_xlfn.XLOOKUP(CoreValuesResults[[#This Row],[Team Number]],RobotDesignResults[Team Number],RobotDesignResults[Design - Ideas (CV)])</f>
        <v>0</v>
      </c>
      <c r="J135" s="87">
        <f>_xlfn.XLOOKUP(CoreValuesResults[[#This Row],[Team Number]],RobotDesignResults[Team Number],RobotDesignResults[Iterate - Improvements (CV)])</f>
        <v>0</v>
      </c>
      <c r="K135" s="87">
        <f>_xlfn.XLOOKUP(CoreValuesResults[[#This Row],[Team Number]],RobotDesignResults[Team Number],RobotDesignResults[Communicate - Impact (CV)])</f>
        <v>0</v>
      </c>
      <c r="L135" s="87">
        <f>_xlfn.XLOOKUP(CoreValuesResults[[#This Row],[Team Number]],RobotDesignResults[Team Number],RobotDesignResults[Communicate - Fun (CV)])</f>
        <v>0</v>
      </c>
      <c r="M135" s="17"/>
      <c r="N135" s="17"/>
      <c r="O135" s="17"/>
      <c r="P135" s="17"/>
      <c r="Q135" s="17"/>
      <c r="R135" s="12"/>
      <c r="S135" s="12"/>
      <c r="T135" s="12"/>
      <c r="U135" s="83">
        <f>SUM(CoreValuesResults[[#This Row],[Discovery (IP)]:[Fun (RD)]],CoreValuesResults[[#This Row],[Gracious Professionalism Score]])</f>
        <v>0</v>
      </c>
      <c r="V135" s="43">
        <f>IF(CoreValuesResults[[#This Row],[Team Number]]&gt;0,MIN(_xlfn.RANK.EQ(CoreValuesResults[[#This Row],[Core Values Score]],CoreValuesResults[Core Values Score],0),NumberOfTeams),NumberOfTeams+1)</f>
        <v>1</v>
      </c>
      <c r="W135" s="82"/>
      <c r="X135" s="82"/>
      <c r="Y135" s="82"/>
    </row>
    <row r="136" spans="1:25" ht="30" customHeight="1" x14ac:dyDescent="0.45">
      <c r="A136" s="12">
        <f>_xlfn.XLOOKUP(135,OfficialTeamList[Row],OfficialTeamList[Team Number],"ERROR",0)</f>
        <v>0</v>
      </c>
      <c r="B136" s="42" t="str">
        <f>_xlfn.XLOOKUP(CoreValuesResults[[#This Row],[Team Number]],OfficialTeamList[Team Number],OfficialTeamList[Team Name],"",0,)</f>
        <v/>
      </c>
      <c r="C136" s="87">
        <f>_xlfn.XLOOKUP(CoreValuesResults[[#This Row],[Team Number]],InnovationProjectResults[Team Number],InnovationProjectResults[Identify - Research (CV)])</f>
        <v>0</v>
      </c>
      <c r="D136" s="87">
        <f>_xlfn.XLOOKUP(CoreValuesResults[[#This Row],[Team Number]],InnovationProjectResults[Team Number],InnovationProjectResults[Design - Teamwork (CV)])</f>
        <v>0</v>
      </c>
      <c r="E136" s="87">
        <f>_xlfn.XLOOKUP(CoreValuesResults[[#This Row],[Team Number]],InnovationProjectResults[Team Number],InnovationProjectResults[Create - Innovation (CV)])</f>
        <v>0</v>
      </c>
      <c r="F136" s="87">
        <f>_xlfn.XLOOKUP(CoreValuesResults[[#This Row],[Team Number]],InnovationProjectResults[Team Number],InnovationProjectResults[Communicate - Impact (CV)])</f>
        <v>0</v>
      </c>
      <c r="G136" s="87">
        <f>_xlfn.XLOOKUP(CoreValuesResults[[#This Row],[Team Number]],InnovationProjectResults[Team Number],InnovationProjectResults[Communicate - Fun (CV)])</f>
        <v>0</v>
      </c>
      <c r="H136" s="87">
        <f>_xlfn.XLOOKUP(CoreValuesResults[[#This Row],[Team Number]],RobotDesignResults[Team Number],RobotDesignResults[Identify - Research (CV)])</f>
        <v>0</v>
      </c>
      <c r="I136" s="87">
        <f>_xlfn.XLOOKUP(CoreValuesResults[[#This Row],[Team Number]],RobotDesignResults[Team Number],RobotDesignResults[Design - Ideas (CV)])</f>
        <v>0</v>
      </c>
      <c r="J136" s="87">
        <f>_xlfn.XLOOKUP(CoreValuesResults[[#This Row],[Team Number]],RobotDesignResults[Team Number],RobotDesignResults[Iterate - Improvements (CV)])</f>
        <v>0</v>
      </c>
      <c r="K136" s="87">
        <f>_xlfn.XLOOKUP(CoreValuesResults[[#This Row],[Team Number]],RobotDesignResults[Team Number],RobotDesignResults[Communicate - Impact (CV)])</f>
        <v>0</v>
      </c>
      <c r="L136" s="87">
        <f>_xlfn.XLOOKUP(CoreValuesResults[[#This Row],[Team Number]],RobotDesignResults[Team Number],RobotDesignResults[Communicate - Fun (CV)])</f>
        <v>0</v>
      </c>
      <c r="M136" s="17"/>
      <c r="N136" s="17"/>
      <c r="O136" s="17"/>
      <c r="P136" s="17"/>
      <c r="Q136" s="17"/>
      <c r="R136" s="12"/>
      <c r="S136" s="12"/>
      <c r="T136" s="12"/>
      <c r="U136" s="83">
        <f>SUM(CoreValuesResults[[#This Row],[Discovery (IP)]:[Fun (RD)]],CoreValuesResults[[#This Row],[Gracious Professionalism Score]])</f>
        <v>0</v>
      </c>
      <c r="V136" s="43">
        <f>IF(CoreValuesResults[[#This Row],[Team Number]]&gt;0,MIN(_xlfn.RANK.EQ(CoreValuesResults[[#This Row],[Core Values Score]],CoreValuesResults[Core Values Score],0),NumberOfTeams),NumberOfTeams+1)</f>
        <v>1</v>
      </c>
      <c r="W136" s="82"/>
      <c r="X136" s="82"/>
      <c r="Y136" s="82"/>
    </row>
    <row r="137" spans="1:25" ht="30" customHeight="1" x14ac:dyDescent="0.45">
      <c r="A137" s="12">
        <f>_xlfn.XLOOKUP(136,OfficialTeamList[Row],OfficialTeamList[Team Number],"ERROR",0)</f>
        <v>0</v>
      </c>
      <c r="B137" s="42" t="str">
        <f>_xlfn.XLOOKUP(CoreValuesResults[[#This Row],[Team Number]],OfficialTeamList[Team Number],OfficialTeamList[Team Name],"",0,)</f>
        <v/>
      </c>
      <c r="C137" s="87">
        <f>_xlfn.XLOOKUP(CoreValuesResults[[#This Row],[Team Number]],InnovationProjectResults[Team Number],InnovationProjectResults[Identify - Research (CV)])</f>
        <v>0</v>
      </c>
      <c r="D137" s="87">
        <f>_xlfn.XLOOKUP(CoreValuesResults[[#This Row],[Team Number]],InnovationProjectResults[Team Number],InnovationProjectResults[Design - Teamwork (CV)])</f>
        <v>0</v>
      </c>
      <c r="E137" s="87">
        <f>_xlfn.XLOOKUP(CoreValuesResults[[#This Row],[Team Number]],InnovationProjectResults[Team Number],InnovationProjectResults[Create - Innovation (CV)])</f>
        <v>0</v>
      </c>
      <c r="F137" s="87">
        <f>_xlfn.XLOOKUP(CoreValuesResults[[#This Row],[Team Number]],InnovationProjectResults[Team Number],InnovationProjectResults[Communicate - Impact (CV)])</f>
        <v>0</v>
      </c>
      <c r="G137" s="87">
        <f>_xlfn.XLOOKUP(CoreValuesResults[[#This Row],[Team Number]],InnovationProjectResults[Team Number],InnovationProjectResults[Communicate - Fun (CV)])</f>
        <v>0</v>
      </c>
      <c r="H137" s="87">
        <f>_xlfn.XLOOKUP(CoreValuesResults[[#This Row],[Team Number]],RobotDesignResults[Team Number],RobotDesignResults[Identify - Research (CV)])</f>
        <v>0</v>
      </c>
      <c r="I137" s="87">
        <f>_xlfn.XLOOKUP(CoreValuesResults[[#This Row],[Team Number]],RobotDesignResults[Team Number],RobotDesignResults[Design - Ideas (CV)])</f>
        <v>0</v>
      </c>
      <c r="J137" s="87">
        <f>_xlfn.XLOOKUP(CoreValuesResults[[#This Row],[Team Number]],RobotDesignResults[Team Number],RobotDesignResults[Iterate - Improvements (CV)])</f>
        <v>0</v>
      </c>
      <c r="K137" s="87">
        <f>_xlfn.XLOOKUP(CoreValuesResults[[#This Row],[Team Number]],RobotDesignResults[Team Number],RobotDesignResults[Communicate - Impact (CV)])</f>
        <v>0</v>
      </c>
      <c r="L137" s="87">
        <f>_xlfn.XLOOKUP(CoreValuesResults[[#This Row],[Team Number]],RobotDesignResults[Team Number],RobotDesignResults[Communicate - Fun (CV)])</f>
        <v>0</v>
      </c>
      <c r="M137" s="17"/>
      <c r="N137" s="17"/>
      <c r="O137" s="17"/>
      <c r="P137" s="17"/>
      <c r="Q137" s="17"/>
      <c r="R137" s="12"/>
      <c r="S137" s="12"/>
      <c r="T137" s="12"/>
      <c r="U137" s="83">
        <f>SUM(CoreValuesResults[[#This Row],[Discovery (IP)]:[Fun (RD)]],CoreValuesResults[[#This Row],[Gracious Professionalism Score]])</f>
        <v>0</v>
      </c>
      <c r="V137" s="43">
        <f>IF(CoreValuesResults[[#This Row],[Team Number]]&gt;0,MIN(_xlfn.RANK.EQ(CoreValuesResults[[#This Row],[Core Values Score]],CoreValuesResults[Core Values Score],0),NumberOfTeams),NumberOfTeams+1)</f>
        <v>1</v>
      </c>
      <c r="W137" s="82"/>
      <c r="X137" s="82"/>
      <c r="Y137" s="82"/>
    </row>
    <row r="138" spans="1:25" ht="30" customHeight="1" x14ac:dyDescent="0.45">
      <c r="A138" s="12">
        <f>_xlfn.XLOOKUP(137,OfficialTeamList[Row],OfficialTeamList[Team Number],"ERROR",0)</f>
        <v>0</v>
      </c>
      <c r="B138" s="42" t="str">
        <f>_xlfn.XLOOKUP(CoreValuesResults[[#This Row],[Team Number]],OfficialTeamList[Team Number],OfficialTeamList[Team Name],"",0,)</f>
        <v/>
      </c>
      <c r="C138" s="87">
        <f>_xlfn.XLOOKUP(CoreValuesResults[[#This Row],[Team Number]],InnovationProjectResults[Team Number],InnovationProjectResults[Identify - Research (CV)])</f>
        <v>0</v>
      </c>
      <c r="D138" s="87">
        <f>_xlfn.XLOOKUP(CoreValuesResults[[#This Row],[Team Number]],InnovationProjectResults[Team Number],InnovationProjectResults[Design - Teamwork (CV)])</f>
        <v>0</v>
      </c>
      <c r="E138" s="87">
        <f>_xlfn.XLOOKUP(CoreValuesResults[[#This Row],[Team Number]],InnovationProjectResults[Team Number],InnovationProjectResults[Create - Innovation (CV)])</f>
        <v>0</v>
      </c>
      <c r="F138" s="87">
        <f>_xlfn.XLOOKUP(CoreValuesResults[[#This Row],[Team Number]],InnovationProjectResults[Team Number],InnovationProjectResults[Communicate - Impact (CV)])</f>
        <v>0</v>
      </c>
      <c r="G138" s="87">
        <f>_xlfn.XLOOKUP(CoreValuesResults[[#This Row],[Team Number]],InnovationProjectResults[Team Number],InnovationProjectResults[Communicate - Fun (CV)])</f>
        <v>0</v>
      </c>
      <c r="H138" s="87">
        <f>_xlfn.XLOOKUP(CoreValuesResults[[#This Row],[Team Number]],RobotDesignResults[Team Number],RobotDesignResults[Identify - Research (CV)])</f>
        <v>0</v>
      </c>
      <c r="I138" s="87">
        <f>_xlfn.XLOOKUP(CoreValuesResults[[#This Row],[Team Number]],RobotDesignResults[Team Number],RobotDesignResults[Design - Ideas (CV)])</f>
        <v>0</v>
      </c>
      <c r="J138" s="87">
        <f>_xlfn.XLOOKUP(CoreValuesResults[[#This Row],[Team Number]],RobotDesignResults[Team Number],RobotDesignResults[Iterate - Improvements (CV)])</f>
        <v>0</v>
      </c>
      <c r="K138" s="87">
        <f>_xlfn.XLOOKUP(CoreValuesResults[[#This Row],[Team Number]],RobotDesignResults[Team Number],RobotDesignResults[Communicate - Impact (CV)])</f>
        <v>0</v>
      </c>
      <c r="L138" s="87">
        <f>_xlfn.XLOOKUP(CoreValuesResults[[#This Row],[Team Number]],RobotDesignResults[Team Number],RobotDesignResults[Communicate - Fun (CV)])</f>
        <v>0</v>
      </c>
      <c r="M138" s="17"/>
      <c r="N138" s="17"/>
      <c r="O138" s="17"/>
      <c r="P138" s="17"/>
      <c r="Q138" s="17"/>
      <c r="R138" s="12"/>
      <c r="S138" s="12"/>
      <c r="T138" s="12"/>
      <c r="U138" s="83">
        <f>SUM(CoreValuesResults[[#This Row],[Discovery (IP)]:[Fun (RD)]],CoreValuesResults[[#This Row],[Gracious Professionalism Score]])</f>
        <v>0</v>
      </c>
      <c r="V138" s="43">
        <f>IF(CoreValuesResults[[#This Row],[Team Number]]&gt;0,MIN(_xlfn.RANK.EQ(CoreValuesResults[[#This Row],[Core Values Score]],CoreValuesResults[Core Values Score],0),NumberOfTeams),NumberOfTeams+1)</f>
        <v>1</v>
      </c>
      <c r="W138" s="82"/>
      <c r="X138" s="82"/>
      <c r="Y138" s="82"/>
    </row>
    <row r="139" spans="1:25" ht="30" customHeight="1" x14ac:dyDescent="0.45">
      <c r="A139" s="12">
        <f>_xlfn.XLOOKUP(138,OfficialTeamList[Row],OfficialTeamList[Team Number],"ERROR",0)</f>
        <v>0</v>
      </c>
      <c r="B139" s="42" t="str">
        <f>_xlfn.XLOOKUP(CoreValuesResults[[#This Row],[Team Number]],OfficialTeamList[Team Number],OfficialTeamList[Team Name],"",0,)</f>
        <v/>
      </c>
      <c r="C139" s="87">
        <f>_xlfn.XLOOKUP(CoreValuesResults[[#This Row],[Team Number]],InnovationProjectResults[Team Number],InnovationProjectResults[Identify - Research (CV)])</f>
        <v>0</v>
      </c>
      <c r="D139" s="87">
        <f>_xlfn.XLOOKUP(CoreValuesResults[[#This Row],[Team Number]],InnovationProjectResults[Team Number],InnovationProjectResults[Design - Teamwork (CV)])</f>
        <v>0</v>
      </c>
      <c r="E139" s="87">
        <f>_xlfn.XLOOKUP(CoreValuesResults[[#This Row],[Team Number]],InnovationProjectResults[Team Number],InnovationProjectResults[Create - Innovation (CV)])</f>
        <v>0</v>
      </c>
      <c r="F139" s="87">
        <f>_xlfn.XLOOKUP(CoreValuesResults[[#This Row],[Team Number]],InnovationProjectResults[Team Number],InnovationProjectResults[Communicate - Impact (CV)])</f>
        <v>0</v>
      </c>
      <c r="G139" s="87">
        <f>_xlfn.XLOOKUP(CoreValuesResults[[#This Row],[Team Number]],InnovationProjectResults[Team Number],InnovationProjectResults[Communicate - Fun (CV)])</f>
        <v>0</v>
      </c>
      <c r="H139" s="87">
        <f>_xlfn.XLOOKUP(CoreValuesResults[[#This Row],[Team Number]],RobotDesignResults[Team Number],RobotDesignResults[Identify - Research (CV)])</f>
        <v>0</v>
      </c>
      <c r="I139" s="87">
        <f>_xlfn.XLOOKUP(CoreValuesResults[[#This Row],[Team Number]],RobotDesignResults[Team Number],RobotDesignResults[Design - Ideas (CV)])</f>
        <v>0</v>
      </c>
      <c r="J139" s="87">
        <f>_xlfn.XLOOKUP(CoreValuesResults[[#This Row],[Team Number]],RobotDesignResults[Team Number],RobotDesignResults[Iterate - Improvements (CV)])</f>
        <v>0</v>
      </c>
      <c r="K139" s="87">
        <f>_xlfn.XLOOKUP(CoreValuesResults[[#This Row],[Team Number]],RobotDesignResults[Team Number],RobotDesignResults[Communicate - Impact (CV)])</f>
        <v>0</v>
      </c>
      <c r="L139" s="87">
        <f>_xlfn.XLOOKUP(CoreValuesResults[[#This Row],[Team Number]],RobotDesignResults[Team Number],RobotDesignResults[Communicate - Fun (CV)])</f>
        <v>0</v>
      </c>
      <c r="M139" s="17"/>
      <c r="N139" s="17"/>
      <c r="O139" s="17"/>
      <c r="P139" s="17"/>
      <c r="Q139" s="17"/>
      <c r="R139" s="12"/>
      <c r="S139" s="12"/>
      <c r="T139" s="12"/>
      <c r="U139" s="83">
        <f>SUM(CoreValuesResults[[#This Row],[Discovery (IP)]:[Fun (RD)]],CoreValuesResults[[#This Row],[Gracious Professionalism Score]])</f>
        <v>0</v>
      </c>
      <c r="V139" s="43">
        <f>IF(CoreValuesResults[[#This Row],[Team Number]]&gt;0,MIN(_xlfn.RANK.EQ(CoreValuesResults[[#This Row],[Core Values Score]],CoreValuesResults[Core Values Score],0),NumberOfTeams),NumberOfTeams+1)</f>
        <v>1</v>
      </c>
      <c r="W139" s="82"/>
      <c r="X139" s="82"/>
      <c r="Y139" s="82"/>
    </row>
    <row r="140" spans="1:25" ht="30" customHeight="1" x14ac:dyDescent="0.45">
      <c r="A140" s="12">
        <f>_xlfn.XLOOKUP(139,OfficialTeamList[Row],OfficialTeamList[Team Number],"ERROR",0)</f>
        <v>0</v>
      </c>
      <c r="B140" s="42" t="str">
        <f>_xlfn.XLOOKUP(CoreValuesResults[[#This Row],[Team Number]],OfficialTeamList[Team Number],OfficialTeamList[Team Name],"",0,)</f>
        <v/>
      </c>
      <c r="C140" s="87">
        <f>_xlfn.XLOOKUP(CoreValuesResults[[#This Row],[Team Number]],InnovationProjectResults[Team Number],InnovationProjectResults[Identify - Research (CV)])</f>
        <v>0</v>
      </c>
      <c r="D140" s="87">
        <f>_xlfn.XLOOKUP(CoreValuesResults[[#This Row],[Team Number]],InnovationProjectResults[Team Number],InnovationProjectResults[Design - Teamwork (CV)])</f>
        <v>0</v>
      </c>
      <c r="E140" s="87">
        <f>_xlfn.XLOOKUP(CoreValuesResults[[#This Row],[Team Number]],InnovationProjectResults[Team Number],InnovationProjectResults[Create - Innovation (CV)])</f>
        <v>0</v>
      </c>
      <c r="F140" s="87">
        <f>_xlfn.XLOOKUP(CoreValuesResults[[#This Row],[Team Number]],InnovationProjectResults[Team Number],InnovationProjectResults[Communicate - Impact (CV)])</f>
        <v>0</v>
      </c>
      <c r="G140" s="87">
        <f>_xlfn.XLOOKUP(CoreValuesResults[[#This Row],[Team Number]],InnovationProjectResults[Team Number],InnovationProjectResults[Communicate - Fun (CV)])</f>
        <v>0</v>
      </c>
      <c r="H140" s="87">
        <f>_xlfn.XLOOKUP(CoreValuesResults[[#This Row],[Team Number]],RobotDesignResults[Team Number],RobotDesignResults[Identify - Research (CV)])</f>
        <v>0</v>
      </c>
      <c r="I140" s="87">
        <f>_xlfn.XLOOKUP(CoreValuesResults[[#This Row],[Team Number]],RobotDesignResults[Team Number],RobotDesignResults[Design - Ideas (CV)])</f>
        <v>0</v>
      </c>
      <c r="J140" s="87">
        <f>_xlfn.XLOOKUP(CoreValuesResults[[#This Row],[Team Number]],RobotDesignResults[Team Number],RobotDesignResults[Iterate - Improvements (CV)])</f>
        <v>0</v>
      </c>
      <c r="K140" s="87">
        <f>_xlfn.XLOOKUP(CoreValuesResults[[#This Row],[Team Number]],RobotDesignResults[Team Number],RobotDesignResults[Communicate - Impact (CV)])</f>
        <v>0</v>
      </c>
      <c r="L140" s="87">
        <f>_xlfn.XLOOKUP(CoreValuesResults[[#This Row],[Team Number]],RobotDesignResults[Team Number],RobotDesignResults[Communicate - Fun (CV)])</f>
        <v>0</v>
      </c>
      <c r="M140" s="17"/>
      <c r="N140" s="17"/>
      <c r="O140" s="17"/>
      <c r="P140" s="17"/>
      <c r="Q140" s="17"/>
      <c r="R140" s="12"/>
      <c r="S140" s="12"/>
      <c r="T140" s="12"/>
      <c r="U140" s="83">
        <f>SUM(CoreValuesResults[[#This Row],[Discovery (IP)]:[Fun (RD)]],CoreValuesResults[[#This Row],[Gracious Professionalism Score]])</f>
        <v>0</v>
      </c>
      <c r="V140" s="43">
        <f>IF(CoreValuesResults[[#This Row],[Team Number]]&gt;0,MIN(_xlfn.RANK.EQ(CoreValuesResults[[#This Row],[Core Values Score]],CoreValuesResults[Core Values Score],0),NumberOfTeams),NumberOfTeams+1)</f>
        <v>1</v>
      </c>
      <c r="W140" s="82"/>
      <c r="X140" s="82"/>
      <c r="Y140" s="82"/>
    </row>
    <row r="141" spans="1:25" ht="30" customHeight="1" x14ac:dyDescent="0.45">
      <c r="A141" s="12">
        <f>_xlfn.XLOOKUP(140,OfficialTeamList[Row],OfficialTeamList[Team Number],"ERROR",0)</f>
        <v>0</v>
      </c>
      <c r="B141" s="42" t="str">
        <f>_xlfn.XLOOKUP(CoreValuesResults[[#This Row],[Team Number]],OfficialTeamList[Team Number],OfficialTeamList[Team Name],"",0,)</f>
        <v/>
      </c>
      <c r="C141" s="87">
        <f>_xlfn.XLOOKUP(CoreValuesResults[[#This Row],[Team Number]],InnovationProjectResults[Team Number],InnovationProjectResults[Identify - Research (CV)])</f>
        <v>0</v>
      </c>
      <c r="D141" s="87">
        <f>_xlfn.XLOOKUP(CoreValuesResults[[#This Row],[Team Number]],InnovationProjectResults[Team Number],InnovationProjectResults[Design - Teamwork (CV)])</f>
        <v>0</v>
      </c>
      <c r="E141" s="87">
        <f>_xlfn.XLOOKUP(CoreValuesResults[[#This Row],[Team Number]],InnovationProjectResults[Team Number],InnovationProjectResults[Create - Innovation (CV)])</f>
        <v>0</v>
      </c>
      <c r="F141" s="87">
        <f>_xlfn.XLOOKUP(CoreValuesResults[[#This Row],[Team Number]],InnovationProjectResults[Team Number],InnovationProjectResults[Communicate - Impact (CV)])</f>
        <v>0</v>
      </c>
      <c r="G141" s="87">
        <f>_xlfn.XLOOKUP(CoreValuesResults[[#This Row],[Team Number]],InnovationProjectResults[Team Number],InnovationProjectResults[Communicate - Fun (CV)])</f>
        <v>0</v>
      </c>
      <c r="H141" s="87">
        <f>_xlfn.XLOOKUP(CoreValuesResults[[#This Row],[Team Number]],RobotDesignResults[Team Number],RobotDesignResults[Identify - Research (CV)])</f>
        <v>0</v>
      </c>
      <c r="I141" s="87">
        <f>_xlfn.XLOOKUP(CoreValuesResults[[#This Row],[Team Number]],RobotDesignResults[Team Number],RobotDesignResults[Design - Ideas (CV)])</f>
        <v>0</v>
      </c>
      <c r="J141" s="87">
        <f>_xlfn.XLOOKUP(CoreValuesResults[[#This Row],[Team Number]],RobotDesignResults[Team Number],RobotDesignResults[Iterate - Improvements (CV)])</f>
        <v>0</v>
      </c>
      <c r="K141" s="87">
        <f>_xlfn.XLOOKUP(CoreValuesResults[[#This Row],[Team Number]],RobotDesignResults[Team Number],RobotDesignResults[Communicate - Impact (CV)])</f>
        <v>0</v>
      </c>
      <c r="L141" s="87">
        <f>_xlfn.XLOOKUP(CoreValuesResults[[#This Row],[Team Number]],RobotDesignResults[Team Number],RobotDesignResults[Communicate - Fun (CV)])</f>
        <v>0</v>
      </c>
      <c r="M141" s="17"/>
      <c r="N141" s="17"/>
      <c r="O141" s="17"/>
      <c r="P141" s="17"/>
      <c r="Q141" s="17"/>
      <c r="R141" s="12"/>
      <c r="S141" s="12"/>
      <c r="T141" s="12"/>
      <c r="U141" s="83">
        <f>SUM(CoreValuesResults[[#This Row],[Discovery (IP)]:[Fun (RD)]],CoreValuesResults[[#This Row],[Gracious Professionalism Score]])</f>
        <v>0</v>
      </c>
      <c r="V141" s="43">
        <f>IF(CoreValuesResults[[#This Row],[Team Number]]&gt;0,MIN(_xlfn.RANK.EQ(CoreValuesResults[[#This Row],[Core Values Score]],CoreValuesResults[Core Values Score],0),NumberOfTeams),NumberOfTeams+1)</f>
        <v>1</v>
      </c>
      <c r="W141" s="82"/>
      <c r="X141" s="82"/>
      <c r="Y141" s="82"/>
    </row>
    <row r="142" spans="1:25" ht="30" customHeight="1" x14ac:dyDescent="0.45">
      <c r="A142" s="12">
        <f>_xlfn.XLOOKUP(141,OfficialTeamList[Row],OfficialTeamList[Team Number],"ERROR",0)</f>
        <v>0</v>
      </c>
      <c r="B142" s="42" t="str">
        <f>_xlfn.XLOOKUP(CoreValuesResults[[#This Row],[Team Number]],OfficialTeamList[Team Number],OfficialTeamList[Team Name],"",0,)</f>
        <v/>
      </c>
      <c r="C142" s="87">
        <f>_xlfn.XLOOKUP(CoreValuesResults[[#This Row],[Team Number]],InnovationProjectResults[Team Number],InnovationProjectResults[Identify - Research (CV)])</f>
        <v>0</v>
      </c>
      <c r="D142" s="87">
        <f>_xlfn.XLOOKUP(CoreValuesResults[[#This Row],[Team Number]],InnovationProjectResults[Team Number],InnovationProjectResults[Design - Teamwork (CV)])</f>
        <v>0</v>
      </c>
      <c r="E142" s="87">
        <f>_xlfn.XLOOKUP(CoreValuesResults[[#This Row],[Team Number]],InnovationProjectResults[Team Number],InnovationProjectResults[Create - Innovation (CV)])</f>
        <v>0</v>
      </c>
      <c r="F142" s="87">
        <f>_xlfn.XLOOKUP(CoreValuesResults[[#This Row],[Team Number]],InnovationProjectResults[Team Number],InnovationProjectResults[Communicate - Impact (CV)])</f>
        <v>0</v>
      </c>
      <c r="G142" s="87">
        <f>_xlfn.XLOOKUP(CoreValuesResults[[#This Row],[Team Number]],InnovationProjectResults[Team Number],InnovationProjectResults[Communicate - Fun (CV)])</f>
        <v>0</v>
      </c>
      <c r="H142" s="87">
        <f>_xlfn.XLOOKUP(CoreValuesResults[[#This Row],[Team Number]],RobotDesignResults[Team Number],RobotDesignResults[Identify - Research (CV)])</f>
        <v>0</v>
      </c>
      <c r="I142" s="87">
        <f>_xlfn.XLOOKUP(CoreValuesResults[[#This Row],[Team Number]],RobotDesignResults[Team Number],RobotDesignResults[Design - Ideas (CV)])</f>
        <v>0</v>
      </c>
      <c r="J142" s="87">
        <f>_xlfn.XLOOKUP(CoreValuesResults[[#This Row],[Team Number]],RobotDesignResults[Team Number],RobotDesignResults[Iterate - Improvements (CV)])</f>
        <v>0</v>
      </c>
      <c r="K142" s="87">
        <f>_xlfn.XLOOKUP(CoreValuesResults[[#This Row],[Team Number]],RobotDesignResults[Team Number],RobotDesignResults[Communicate - Impact (CV)])</f>
        <v>0</v>
      </c>
      <c r="L142" s="87">
        <f>_xlfn.XLOOKUP(CoreValuesResults[[#This Row],[Team Number]],RobotDesignResults[Team Number],RobotDesignResults[Communicate - Fun (CV)])</f>
        <v>0</v>
      </c>
      <c r="M142" s="17"/>
      <c r="N142" s="17"/>
      <c r="O142" s="17"/>
      <c r="P142" s="17"/>
      <c r="Q142" s="17"/>
      <c r="R142" s="12"/>
      <c r="S142" s="12"/>
      <c r="T142" s="12"/>
      <c r="U142" s="83">
        <f>SUM(CoreValuesResults[[#This Row],[Discovery (IP)]:[Fun (RD)]],CoreValuesResults[[#This Row],[Gracious Professionalism Score]])</f>
        <v>0</v>
      </c>
      <c r="V142" s="43">
        <f>IF(CoreValuesResults[[#This Row],[Team Number]]&gt;0,MIN(_xlfn.RANK.EQ(CoreValuesResults[[#This Row],[Core Values Score]],CoreValuesResults[Core Values Score],0),NumberOfTeams),NumberOfTeams+1)</f>
        <v>1</v>
      </c>
      <c r="W142" s="82"/>
      <c r="X142" s="82"/>
      <c r="Y142" s="82"/>
    </row>
    <row r="143" spans="1:25" ht="30" customHeight="1" x14ac:dyDescent="0.45">
      <c r="A143" s="12">
        <f>_xlfn.XLOOKUP(142,OfficialTeamList[Row],OfficialTeamList[Team Number],"ERROR",0)</f>
        <v>0</v>
      </c>
      <c r="B143" s="42" t="str">
        <f>_xlfn.XLOOKUP(CoreValuesResults[[#This Row],[Team Number]],OfficialTeamList[Team Number],OfficialTeamList[Team Name],"",0,)</f>
        <v/>
      </c>
      <c r="C143" s="87">
        <f>_xlfn.XLOOKUP(CoreValuesResults[[#This Row],[Team Number]],InnovationProjectResults[Team Number],InnovationProjectResults[Identify - Research (CV)])</f>
        <v>0</v>
      </c>
      <c r="D143" s="87">
        <f>_xlfn.XLOOKUP(CoreValuesResults[[#This Row],[Team Number]],InnovationProjectResults[Team Number],InnovationProjectResults[Design - Teamwork (CV)])</f>
        <v>0</v>
      </c>
      <c r="E143" s="87">
        <f>_xlfn.XLOOKUP(CoreValuesResults[[#This Row],[Team Number]],InnovationProjectResults[Team Number],InnovationProjectResults[Create - Innovation (CV)])</f>
        <v>0</v>
      </c>
      <c r="F143" s="87">
        <f>_xlfn.XLOOKUP(CoreValuesResults[[#This Row],[Team Number]],InnovationProjectResults[Team Number],InnovationProjectResults[Communicate - Impact (CV)])</f>
        <v>0</v>
      </c>
      <c r="G143" s="87">
        <f>_xlfn.XLOOKUP(CoreValuesResults[[#This Row],[Team Number]],InnovationProjectResults[Team Number],InnovationProjectResults[Communicate - Fun (CV)])</f>
        <v>0</v>
      </c>
      <c r="H143" s="87">
        <f>_xlfn.XLOOKUP(CoreValuesResults[[#This Row],[Team Number]],RobotDesignResults[Team Number],RobotDesignResults[Identify - Research (CV)])</f>
        <v>0</v>
      </c>
      <c r="I143" s="87">
        <f>_xlfn.XLOOKUP(CoreValuesResults[[#This Row],[Team Number]],RobotDesignResults[Team Number],RobotDesignResults[Design - Ideas (CV)])</f>
        <v>0</v>
      </c>
      <c r="J143" s="87">
        <f>_xlfn.XLOOKUP(CoreValuesResults[[#This Row],[Team Number]],RobotDesignResults[Team Number],RobotDesignResults[Iterate - Improvements (CV)])</f>
        <v>0</v>
      </c>
      <c r="K143" s="87">
        <f>_xlfn.XLOOKUP(CoreValuesResults[[#This Row],[Team Number]],RobotDesignResults[Team Number],RobotDesignResults[Communicate - Impact (CV)])</f>
        <v>0</v>
      </c>
      <c r="L143" s="87">
        <f>_xlfn.XLOOKUP(CoreValuesResults[[#This Row],[Team Number]],RobotDesignResults[Team Number],RobotDesignResults[Communicate - Fun (CV)])</f>
        <v>0</v>
      </c>
      <c r="M143" s="17"/>
      <c r="N143" s="17"/>
      <c r="O143" s="17"/>
      <c r="P143" s="17"/>
      <c r="Q143" s="17"/>
      <c r="R143" s="12"/>
      <c r="S143" s="12"/>
      <c r="T143" s="12"/>
      <c r="U143" s="83">
        <f>SUM(CoreValuesResults[[#This Row],[Discovery (IP)]:[Fun (RD)]],CoreValuesResults[[#This Row],[Gracious Professionalism Score]])</f>
        <v>0</v>
      </c>
      <c r="V143" s="43">
        <f>IF(CoreValuesResults[[#This Row],[Team Number]]&gt;0,MIN(_xlfn.RANK.EQ(CoreValuesResults[[#This Row],[Core Values Score]],CoreValuesResults[Core Values Score],0),NumberOfTeams),NumberOfTeams+1)</f>
        <v>1</v>
      </c>
      <c r="W143" s="82"/>
      <c r="X143" s="82"/>
      <c r="Y143" s="82"/>
    </row>
    <row r="144" spans="1:25" ht="30" customHeight="1" x14ac:dyDescent="0.45">
      <c r="A144" s="12">
        <f>_xlfn.XLOOKUP(143,OfficialTeamList[Row],OfficialTeamList[Team Number],"ERROR",0)</f>
        <v>0</v>
      </c>
      <c r="B144" s="42" t="str">
        <f>_xlfn.XLOOKUP(CoreValuesResults[[#This Row],[Team Number]],OfficialTeamList[Team Number],OfficialTeamList[Team Name],"",0,)</f>
        <v/>
      </c>
      <c r="C144" s="87">
        <f>_xlfn.XLOOKUP(CoreValuesResults[[#This Row],[Team Number]],InnovationProjectResults[Team Number],InnovationProjectResults[Identify - Research (CV)])</f>
        <v>0</v>
      </c>
      <c r="D144" s="87">
        <f>_xlfn.XLOOKUP(CoreValuesResults[[#This Row],[Team Number]],InnovationProjectResults[Team Number],InnovationProjectResults[Design - Teamwork (CV)])</f>
        <v>0</v>
      </c>
      <c r="E144" s="87">
        <f>_xlfn.XLOOKUP(CoreValuesResults[[#This Row],[Team Number]],InnovationProjectResults[Team Number],InnovationProjectResults[Create - Innovation (CV)])</f>
        <v>0</v>
      </c>
      <c r="F144" s="87">
        <f>_xlfn.XLOOKUP(CoreValuesResults[[#This Row],[Team Number]],InnovationProjectResults[Team Number],InnovationProjectResults[Communicate - Impact (CV)])</f>
        <v>0</v>
      </c>
      <c r="G144" s="87">
        <f>_xlfn.XLOOKUP(CoreValuesResults[[#This Row],[Team Number]],InnovationProjectResults[Team Number],InnovationProjectResults[Communicate - Fun (CV)])</f>
        <v>0</v>
      </c>
      <c r="H144" s="87">
        <f>_xlfn.XLOOKUP(CoreValuesResults[[#This Row],[Team Number]],RobotDesignResults[Team Number],RobotDesignResults[Identify - Research (CV)])</f>
        <v>0</v>
      </c>
      <c r="I144" s="87">
        <f>_xlfn.XLOOKUP(CoreValuesResults[[#This Row],[Team Number]],RobotDesignResults[Team Number],RobotDesignResults[Design - Ideas (CV)])</f>
        <v>0</v>
      </c>
      <c r="J144" s="87">
        <f>_xlfn.XLOOKUP(CoreValuesResults[[#This Row],[Team Number]],RobotDesignResults[Team Number],RobotDesignResults[Iterate - Improvements (CV)])</f>
        <v>0</v>
      </c>
      <c r="K144" s="87">
        <f>_xlfn.XLOOKUP(CoreValuesResults[[#This Row],[Team Number]],RobotDesignResults[Team Number],RobotDesignResults[Communicate - Impact (CV)])</f>
        <v>0</v>
      </c>
      <c r="L144" s="87">
        <f>_xlfn.XLOOKUP(CoreValuesResults[[#This Row],[Team Number]],RobotDesignResults[Team Number],RobotDesignResults[Communicate - Fun (CV)])</f>
        <v>0</v>
      </c>
      <c r="M144" s="17"/>
      <c r="N144" s="17"/>
      <c r="O144" s="17"/>
      <c r="P144" s="17"/>
      <c r="Q144" s="17"/>
      <c r="R144" s="12"/>
      <c r="S144" s="12"/>
      <c r="T144" s="12"/>
      <c r="U144" s="83">
        <f>SUM(CoreValuesResults[[#This Row],[Discovery (IP)]:[Fun (RD)]],CoreValuesResults[[#This Row],[Gracious Professionalism Score]])</f>
        <v>0</v>
      </c>
      <c r="V144" s="43">
        <f>IF(CoreValuesResults[[#This Row],[Team Number]]&gt;0,MIN(_xlfn.RANK.EQ(CoreValuesResults[[#This Row],[Core Values Score]],CoreValuesResults[Core Values Score],0),NumberOfTeams),NumberOfTeams+1)</f>
        <v>1</v>
      </c>
      <c r="W144" s="82"/>
      <c r="X144" s="82"/>
      <c r="Y144" s="82"/>
    </row>
    <row r="145" spans="1:25" ht="30" customHeight="1" x14ac:dyDescent="0.45">
      <c r="A145" s="12">
        <f>_xlfn.XLOOKUP(144,OfficialTeamList[Row],OfficialTeamList[Team Number],"ERROR",0)</f>
        <v>0</v>
      </c>
      <c r="B145" s="42" t="str">
        <f>_xlfn.XLOOKUP(CoreValuesResults[[#This Row],[Team Number]],OfficialTeamList[Team Number],OfficialTeamList[Team Name],"",0,)</f>
        <v/>
      </c>
      <c r="C145" s="87">
        <f>_xlfn.XLOOKUP(CoreValuesResults[[#This Row],[Team Number]],InnovationProjectResults[Team Number],InnovationProjectResults[Identify - Research (CV)])</f>
        <v>0</v>
      </c>
      <c r="D145" s="87">
        <f>_xlfn.XLOOKUP(CoreValuesResults[[#This Row],[Team Number]],InnovationProjectResults[Team Number],InnovationProjectResults[Design - Teamwork (CV)])</f>
        <v>0</v>
      </c>
      <c r="E145" s="87">
        <f>_xlfn.XLOOKUP(CoreValuesResults[[#This Row],[Team Number]],InnovationProjectResults[Team Number],InnovationProjectResults[Create - Innovation (CV)])</f>
        <v>0</v>
      </c>
      <c r="F145" s="87">
        <f>_xlfn.XLOOKUP(CoreValuesResults[[#This Row],[Team Number]],InnovationProjectResults[Team Number],InnovationProjectResults[Communicate - Impact (CV)])</f>
        <v>0</v>
      </c>
      <c r="G145" s="87">
        <f>_xlfn.XLOOKUP(CoreValuesResults[[#This Row],[Team Number]],InnovationProjectResults[Team Number],InnovationProjectResults[Communicate - Fun (CV)])</f>
        <v>0</v>
      </c>
      <c r="H145" s="87">
        <f>_xlfn.XLOOKUP(CoreValuesResults[[#This Row],[Team Number]],RobotDesignResults[Team Number],RobotDesignResults[Identify - Research (CV)])</f>
        <v>0</v>
      </c>
      <c r="I145" s="87">
        <f>_xlfn.XLOOKUP(CoreValuesResults[[#This Row],[Team Number]],RobotDesignResults[Team Number],RobotDesignResults[Design - Ideas (CV)])</f>
        <v>0</v>
      </c>
      <c r="J145" s="87">
        <f>_xlfn.XLOOKUP(CoreValuesResults[[#This Row],[Team Number]],RobotDesignResults[Team Number],RobotDesignResults[Iterate - Improvements (CV)])</f>
        <v>0</v>
      </c>
      <c r="K145" s="87">
        <f>_xlfn.XLOOKUP(CoreValuesResults[[#This Row],[Team Number]],RobotDesignResults[Team Number],RobotDesignResults[Communicate - Impact (CV)])</f>
        <v>0</v>
      </c>
      <c r="L145" s="87">
        <f>_xlfn.XLOOKUP(CoreValuesResults[[#This Row],[Team Number]],RobotDesignResults[Team Number],RobotDesignResults[Communicate - Fun (CV)])</f>
        <v>0</v>
      </c>
      <c r="M145" s="17"/>
      <c r="N145" s="17"/>
      <c r="O145" s="17"/>
      <c r="P145" s="17"/>
      <c r="Q145" s="17"/>
      <c r="R145" s="12"/>
      <c r="S145" s="12"/>
      <c r="T145" s="12"/>
      <c r="U145" s="83">
        <f>SUM(CoreValuesResults[[#This Row],[Discovery (IP)]:[Fun (RD)]],CoreValuesResults[[#This Row],[Gracious Professionalism Score]])</f>
        <v>0</v>
      </c>
      <c r="V145" s="43">
        <f>IF(CoreValuesResults[[#This Row],[Team Number]]&gt;0,MIN(_xlfn.RANK.EQ(CoreValuesResults[[#This Row],[Core Values Score]],CoreValuesResults[Core Values Score],0),NumberOfTeams),NumberOfTeams+1)</f>
        <v>1</v>
      </c>
      <c r="W145" s="82"/>
      <c r="X145" s="82"/>
      <c r="Y145" s="82"/>
    </row>
    <row r="146" spans="1:25" ht="30" customHeight="1" x14ac:dyDescent="0.45">
      <c r="A146" s="12">
        <f>_xlfn.XLOOKUP(145,OfficialTeamList[Row],OfficialTeamList[Team Number],"ERROR",0)</f>
        <v>0</v>
      </c>
      <c r="B146" s="42" t="str">
        <f>_xlfn.XLOOKUP(CoreValuesResults[[#This Row],[Team Number]],OfficialTeamList[Team Number],OfficialTeamList[Team Name],"",0,)</f>
        <v/>
      </c>
      <c r="C146" s="87">
        <f>_xlfn.XLOOKUP(CoreValuesResults[[#This Row],[Team Number]],InnovationProjectResults[Team Number],InnovationProjectResults[Identify - Research (CV)])</f>
        <v>0</v>
      </c>
      <c r="D146" s="87">
        <f>_xlfn.XLOOKUP(CoreValuesResults[[#This Row],[Team Number]],InnovationProjectResults[Team Number],InnovationProjectResults[Design - Teamwork (CV)])</f>
        <v>0</v>
      </c>
      <c r="E146" s="87">
        <f>_xlfn.XLOOKUP(CoreValuesResults[[#This Row],[Team Number]],InnovationProjectResults[Team Number],InnovationProjectResults[Create - Innovation (CV)])</f>
        <v>0</v>
      </c>
      <c r="F146" s="87">
        <f>_xlfn.XLOOKUP(CoreValuesResults[[#This Row],[Team Number]],InnovationProjectResults[Team Number],InnovationProjectResults[Communicate - Impact (CV)])</f>
        <v>0</v>
      </c>
      <c r="G146" s="87">
        <f>_xlfn.XLOOKUP(CoreValuesResults[[#This Row],[Team Number]],InnovationProjectResults[Team Number],InnovationProjectResults[Communicate - Fun (CV)])</f>
        <v>0</v>
      </c>
      <c r="H146" s="87">
        <f>_xlfn.XLOOKUP(CoreValuesResults[[#This Row],[Team Number]],RobotDesignResults[Team Number],RobotDesignResults[Identify - Research (CV)])</f>
        <v>0</v>
      </c>
      <c r="I146" s="87">
        <f>_xlfn.XLOOKUP(CoreValuesResults[[#This Row],[Team Number]],RobotDesignResults[Team Number],RobotDesignResults[Design - Ideas (CV)])</f>
        <v>0</v>
      </c>
      <c r="J146" s="87">
        <f>_xlfn.XLOOKUP(CoreValuesResults[[#This Row],[Team Number]],RobotDesignResults[Team Number],RobotDesignResults[Iterate - Improvements (CV)])</f>
        <v>0</v>
      </c>
      <c r="K146" s="87">
        <f>_xlfn.XLOOKUP(CoreValuesResults[[#This Row],[Team Number]],RobotDesignResults[Team Number],RobotDesignResults[Communicate - Impact (CV)])</f>
        <v>0</v>
      </c>
      <c r="L146" s="87">
        <f>_xlfn.XLOOKUP(CoreValuesResults[[#This Row],[Team Number]],RobotDesignResults[Team Number],RobotDesignResults[Communicate - Fun (CV)])</f>
        <v>0</v>
      </c>
      <c r="M146" s="17"/>
      <c r="N146" s="17"/>
      <c r="O146" s="17"/>
      <c r="P146" s="17"/>
      <c r="Q146" s="17"/>
      <c r="R146" s="12"/>
      <c r="S146" s="12"/>
      <c r="T146" s="12"/>
      <c r="U146" s="83">
        <f>SUM(CoreValuesResults[[#This Row],[Discovery (IP)]:[Fun (RD)]],CoreValuesResults[[#This Row],[Gracious Professionalism Score]])</f>
        <v>0</v>
      </c>
      <c r="V146" s="43">
        <f>IF(CoreValuesResults[[#This Row],[Team Number]]&gt;0,MIN(_xlfn.RANK.EQ(CoreValuesResults[[#This Row],[Core Values Score]],CoreValuesResults[Core Values Score],0),NumberOfTeams),NumberOfTeams+1)</f>
        <v>1</v>
      </c>
      <c r="W146" s="82"/>
      <c r="X146" s="82"/>
      <c r="Y146" s="82"/>
    </row>
    <row r="147" spans="1:25" ht="30" customHeight="1" x14ac:dyDescent="0.45">
      <c r="A147" s="12">
        <f>_xlfn.XLOOKUP(146,OfficialTeamList[Row],OfficialTeamList[Team Number],"ERROR",0)</f>
        <v>0</v>
      </c>
      <c r="B147" s="42" t="str">
        <f>_xlfn.XLOOKUP(CoreValuesResults[[#This Row],[Team Number]],OfficialTeamList[Team Number],OfficialTeamList[Team Name],"",0,)</f>
        <v/>
      </c>
      <c r="C147" s="87">
        <f>_xlfn.XLOOKUP(CoreValuesResults[[#This Row],[Team Number]],InnovationProjectResults[Team Number],InnovationProjectResults[Identify - Research (CV)])</f>
        <v>0</v>
      </c>
      <c r="D147" s="87">
        <f>_xlfn.XLOOKUP(CoreValuesResults[[#This Row],[Team Number]],InnovationProjectResults[Team Number],InnovationProjectResults[Design - Teamwork (CV)])</f>
        <v>0</v>
      </c>
      <c r="E147" s="87">
        <f>_xlfn.XLOOKUP(CoreValuesResults[[#This Row],[Team Number]],InnovationProjectResults[Team Number],InnovationProjectResults[Create - Innovation (CV)])</f>
        <v>0</v>
      </c>
      <c r="F147" s="87">
        <f>_xlfn.XLOOKUP(CoreValuesResults[[#This Row],[Team Number]],InnovationProjectResults[Team Number],InnovationProjectResults[Communicate - Impact (CV)])</f>
        <v>0</v>
      </c>
      <c r="G147" s="87">
        <f>_xlfn.XLOOKUP(CoreValuesResults[[#This Row],[Team Number]],InnovationProjectResults[Team Number],InnovationProjectResults[Communicate - Fun (CV)])</f>
        <v>0</v>
      </c>
      <c r="H147" s="87">
        <f>_xlfn.XLOOKUP(CoreValuesResults[[#This Row],[Team Number]],RobotDesignResults[Team Number],RobotDesignResults[Identify - Research (CV)])</f>
        <v>0</v>
      </c>
      <c r="I147" s="87">
        <f>_xlfn.XLOOKUP(CoreValuesResults[[#This Row],[Team Number]],RobotDesignResults[Team Number],RobotDesignResults[Design - Ideas (CV)])</f>
        <v>0</v>
      </c>
      <c r="J147" s="87">
        <f>_xlfn.XLOOKUP(CoreValuesResults[[#This Row],[Team Number]],RobotDesignResults[Team Number],RobotDesignResults[Iterate - Improvements (CV)])</f>
        <v>0</v>
      </c>
      <c r="K147" s="87">
        <f>_xlfn.XLOOKUP(CoreValuesResults[[#This Row],[Team Number]],RobotDesignResults[Team Number],RobotDesignResults[Communicate - Impact (CV)])</f>
        <v>0</v>
      </c>
      <c r="L147" s="87">
        <f>_xlfn.XLOOKUP(CoreValuesResults[[#This Row],[Team Number]],RobotDesignResults[Team Number],RobotDesignResults[Communicate - Fun (CV)])</f>
        <v>0</v>
      </c>
      <c r="M147" s="17"/>
      <c r="N147" s="17"/>
      <c r="O147" s="17"/>
      <c r="P147" s="17"/>
      <c r="Q147" s="17"/>
      <c r="R147" s="12"/>
      <c r="S147" s="12"/>
      <c r="T147" s="12"/>
      <c r="U147" s="83">
        <f>SUM(CoreValuesResults[[#This Row],[Discovery (IP)]:[Fun (RD)]],CoreValuesResults[[#This Row],[Gracious Professionalism Score]])</f>
        <v>0</v>
      </c>
      <c r="V147" s="43">
        <f>IF(CoreValuesResults[[#This Row],[Team Number]]&gt;0,MIN(_xlfn.RANK.EQ(CoreValuesResults[[#This Row],[Core Values Score]],CoreValuesResults[Core Values Score],0),NumberOfTeams),NumberOfTeams+1)</f>
        <v>1</v>
      </c>
      <c r="W147" s="82"/>
      <c r="X147" s="82"/>
      <c r="Y147" s="82"/>
    </row>
    <row r="148" spans="1:25" ht="30" customHeight="1" x14ac:dyDescent="0.45">
      <c r="A148" s="12">
        <f>_xlfn.XLOOKUP(147,OfficialTeamList[Row],OfficialTeamList[Team Number],"ERROR",0)</f>
        <v>0</v>
      </c>
      <c r="B148" s="42" t="str">
        <f>_xlfn.XLOOKUP(CoreValuesResults[[#This Row],[Team Number]],OfficialTeamList[Team Number],OfficialTeamList[Team Name],"",0,)</f>
        <v/>
      </c>
      <c r="C148" s="87">
        <f>_xlfn.XLOOKUP(CoreValuesResults[[#This Row],[Team Number]],InnovationProjectResults[Team Number],InnovationProjectResults[Identify - Research (CV)])</f>
        <v>0</v>
      </c>
      <c r="D148" s="87">
        <f>_xlfn.XLOOKUP(CoreValuesResults[[#This Row],[Team Number]],InnovationProjectResults[Team Number],InnovationProjectResults[Design - Teamwork (CV)])</f>
        <v>0</v>
      </c>
      <c r="E148" s="87">
        <f>_xlfn.XLOOKUP(CoreValuesResults[[#This Row],[Team Number]],InnovationProjectResults[Team Number],InnovationProjectResults[Create - Innovation (CV)])</f>
        <v>0</v>
      </c>
      <c r="F148" s="87">
        <f>_xlfn.XLOOKUP(CoreValuesResults[[#This Row],[Team Number]],InnovationProjectResults[Team Number],InnovationProjectResults[Communicate - Impact (CV)])</f>
        <v>0</v>
      </c>
      <c r="G148" s="87">
        <f>_xlfn.XLOOKUP(CoreValuesResults[[#This Row],[Team Number]],InnovationProjectResults[Team Number],InnovationProjectResults[Communicate - Fun (CV)])</f>
        <v>0</v>
      </c>
      <c r="H148" s="87">
        <f>_xlfn.XLOOKUP(CoreValuesResults[[#This Row],[Team Number]],RobotDesignResults[Team Number],RobotDesignResults[Identify - Research (CV)])</f>
        <v>0</v>
      </c>
      <c r="I148" s="87">
        <f>_xlfn.XLOOKUP(CoreValuesResults[[#This Row],[Team Number]],RobotDesignResults[Team Number],RobotDesignResults[Design - Ideas (CV)])</f>
        <v>0</v>
      </c>
      <c r="J148" s="87">
        <f>_xlfn.XLOOKUP(CoreValuesResults[[#This Row],[Team Number]],RobotDesignResults[Team Number],RobotDesignResults[Iterate - Improvements (CV)])</f>
        <v>0</v>
      </c>
      <c r="K148" s="87">
        <f>_xlfn.XLOOKUP(CoreValuesResults[[#This Row],[Team Number]],RobotDesignResults[Team Number],RobotDesignResults[Communicate - Impact (CV)])</f>
        <v>0</v>
      </c>
      <c r="L148" s="87">
        <f>_xlfn.XLOOKUP(CoreValuesResults[[#This Row],[Team Number]],RobotDesignResults[Team Number],RobotDesignResults[Communicate - Fun (CV)])</f>
        <v>0</v>
      </c>
      <c r="M148" s="17"/>
      <c r="N148" s="17"/>
      <c r="O148" s="17"/>
      <c r="P148" s="17"/>
      <c r="Q148" s="17"/>
      <c r="R148" s="12"/>
      <c r="S148" s="12"/>
      <c r="T148" s="12"/>
      <c r="U148" s="83">
        <f>SUM(CoreValuesResults[[#This Row],[Discovery (IP)]:[Fun (RD)]],CoreValuesResults[[#This Row],[Gracious Professionalism Score]])</f>
        <v>0</v>
      </c>
      <c r="V148" s="43">
        <f>IF(CoreValuesResults[[#This Row],[Team Number]]&gt;0,MIN(_xlfn.RANK.EQ(CoreValuesResults[[#This Row],[Core Values Score]],CoreValuesResults[Core Values Score],0),NumberOfTeams),NumberOfTeams+1)</f>
        <v>1</v>
      </c>
      <c r="W148" s="82"/>
      <c r="X148" s="82"/>
      <c r="Y148" s="82"/>
    </row>
    <row r="149" spans="1:25" ht="30" customHeight="1" x14ac:dyDescent="0.45">
      <c r="A149" s="12">
        <f>_xlfn.XLOOKUP(148,OfficialTeamList[Row],OfficialTeamList[Team Number],"ERROR",0)</f>
        <v>0</v>
      </c>
      <c r="B149" s="42" t="str">
        <f>_xlfn.XLOOKUP(CoreValuesResults[[#This Row],[Team Number]],OfficialTeamList[Team Number],OfficialTeamList[Team Name],"",0,)</f>
        <v/>
      </c>
      <c r="C149" s="87">
        <f>_xlfn.XLOOKUP(CoreValuesResults[[#This Row],[Team Number]],InnovationProjectResults[Team Number],InnovationProjectResults[Identify - Research (CV)])</f>
        <v>0</v>
      </c>
      <c r="D149" s="87">
        <f>_xlfn.XLOOKUP(CoreValuesResults[[#This Row],[Team Number]],InnovationProjectResults[Team Number],InnovationProjectResults[Design - Teamwork (CV)])</f>
        <v>0</v>
      </c>
      <c r="E149" s="87">
        <f>_xlfn.XLOOKUP(CoreValuesResults[[#This Row],[Team Number]],InnovationProjectResults[Team Number],InnovationProjectResults[Create - Innovation (CV)])</f>
        <v>0</v>
      </c>
      <c r="F149" s="87">
        <f>_xlfn.XLOOKUP(CoreValuesResults[[#This Row],[Team Number]],InnovationProjectResults[Team Number],InnovationProjectResults[Communicate - Impact (CV)])</f>
        <v>0</v>
      </c>
      <c r="G149" s="87">
        <f>_xlfn.XLOOKUP(CoreValuesResults[[#This Row],[Team Number]],InnovationProjectResults[Team Number],InnovationProjectResults[Communicate - Fun (CV)])</f>
        <v>0</v>
      </c>
      <c r="H149" s="87">
        <f>_xlfn.XLOOKUP(CoreValuesResults[[#This Row],[Team Number]],RobotDesignResults[Team Number],RobotDesignResults[Identify - Research (CV)])</f>
        <v>0</v>
      </c>
      <c r="I149" s="87">
        <f>_xlfn.XLOOKUP(CoreValuesResults[[#This Row],[Team Number]],RobotDesignResults[Team Number],RobotDesignResults[Design - Ideas (CV)])</f>
        <v>0</v>
      </c>
      <c r="J149" s="87">
        <f>_xlfn.XLOOKUP(CoreValuesResults[[#This Row],[Team Number]],RobotDesignResults[Team Number],RobotDesignResults[Iterate - Improvements (CV)])</f>
        <v>0</v>
      </c>
      <c r="K149" s="87">
        <f>_xlfn.XLOOKUP(CoreValuesResults[[#This Row],[Team Number]],RobotDesignResults[Team Number],RobotDesignResults[Communicate - Impact (CV)])</f>
        <v>0</v>
      </c>
      <c r="L149" s="87">
        <f>_xlfn.XLOOKUP(CoreValuesResults[[#This Row],[Team Number]],RobotDesignResults[Team Number],RobotDesignResults[Communicate - Fun (CV)])</f>
        <v>0</v>
      </c>
      <c r="M149" s="17"/>
      <c r="N149" s="17"/>
      <c r="O149" s="17"/>
      <c r="P149" s="17"/>
      <c r="Q149" s="17"/>
      <c r="R149" s="12"/>
      <c r="S149" s="12"/>
      <c r="T149" s="12"/>
      <c r="U149" s="83">
        <f>SUM(CoreValuesResults[[#This Row],[Discovery (IP)]:[Fun (RD)]],CoreValuesResults[[#This Row],[Gracious Professionalism Score]])</f>
        <v>0</v>
      </c>
      <c r="V149" s="43">
        <f>IF(CoreValuesResults[[#This Row],[Team Number]]&gt;0,MIN(_xlfn.RANK.EQ(CoreValuesResults[[#This Row],[Core Values Score]],CoreValuesResults[Core Values Score],0),NumberOfTeams),NumberOfTeams+1)</f>
        <v>1</v>
      </c>
      <c r="W149" s="82"/>
      <c r="X149" s="82"/>
      <c r="Y149" s="82"/>
    </row>
    <row r="150" spans="1:25" ht="30" customHeight="1" x14ac:dyDescent="0.45">
      <c r="A150" s="12">
        <f>_xlfn.XLOOKUP(149,OfficialTeamList[Row],OfficialTeamList[Team Number],"ERROR",0)</f>
        <v>0</v>
      </c>
      <c r="B150" s="42" t="str">
        <f>_xlfn.XLOOKUP(CoreValuesResults[[#This Row],[Team Number]],OfficialTeamList[Team Number],OfficialTeamList[Team Name],"",0,)</f>
        <v/>
      </c>
      <c r="C150" s="87">
        <f>_xlfn.XLOOKUP(CoreValuesResults[[#This Row],[Team Number]],InnovationProjectResults[Team Number],InnovationProjectResults[Identify - Research (CV)])</f>
        <v>0</v>
      </c>
      <c r="D150" s="87">
        <f>_xlfn.XLOOKUP(CoreValuesResults[[#This Row],[Team Number]],InnovationProjectResults[Team Number],InnovationProjectResults[Design - Teamwork (CV)])</f>
        <v>0</v>
      </c>
      <c r="E150" s="87">
        <f>_xlfn.XLOOKUP(CoreValuesResults[[#This Row],[Team Number]],InnovationProjectResults[Team Number],InnovationProjectResults[Create - Innovation (CV)])</f>
        <v>0</v>
      </c>
      <c r="F150" s="87">
        <f>_xlfn.XLOOKUP(CoreValuesResults[[#This Row],[Team Number]],InnovationProjectResults[Team Number],InnovationProjectResults[Communicate - Impact (CV)])</f>
        <v>0</v>
      </c>
      <c r="G150" s="87">
        <f>_xlfn.XLOOKUP(CoreValuesResults[[#This Row],[Team Number]],InnovationProjectResults[Team Number],InnovationProjectResults[Communicate - Fun (CV)])</f>
        <v>0</v>
      </c>
      <c r="H150" s="87">
        <f>_xlfn.XLOOKUP(CoreValuesResults[[#This Row],[Team Number]],RobotDesignResults[Team Number],RobotDesignResults[Identify - Research (CV)])</f>
        <v>0</v>
      </c>
      <c r="I150" s="87">
        <f>_xlfn.XLOOKUP(CoreValuesResults[[#This Row],[Team Number]],RobotDesignResults[Team Number],RobotDesignResults[Design - Ideas (CV)])</f>
        <v>0</v>
      </c>
      <c r="J150" s="87">
        <f>_xlfn.XLOOKUP(CoreValuesResults[[#This Row],[Team Number]],RobotDesignResults[Team Number],RobotDesignResults[Iterate - Improvements (CV)])</f>
        <v>0</v>
      </c>
      <c r="K150" s="87">
        <f>_xlfn.XLOOKUP(CoreValuesResults[[#This Row],[Team Number]],RobotDesignResults[Team Number],RobotDesignResults[Communicate - Impact (CV)])</f>
        <v>0</v>
      </c>
      <c r="L150" s="87">
        <f>_xlfn.XLOOKUP(CoreValuesResults[[#This Row],[Team Number]],RobotDesignResults[Team Number],RobotDesignResults[Communicate - Fun (CV)])</f>
        <v>0</v>
      </c>
      <c r="M150" s="17"/>
      <c r="N150" s="17"/>
      <c r="O150" s="17"/>
      <c r="P150" s="17"/>
      <c r="Q150" s="17"/>
      <c r="R150" s="12"/>
      <c r="S150" s="12"/>
      <c r="T150" s="12"/>
      <c r="U150" s="83">
        <f>SUM(CoreValuesResults[[#This Row],[Discovery (IP)]:[Fun (RD)]],CoreValuesResults[[#This Row],[Gracious Professionalism Score]])</f>
        <v>0</v>
      </c>
      <c r="V150" s="43">
        <f>IF(CoreValuesResults[[#This Row],[Team Number]]&gt;0,MIN(_xlfn.RANK.EQ(CoreValuesResults[[#This Row],[Core Values Score]],CoreValuesResults[Core Values Score],0),NumberOfTeams),NumberOfTeams+1)</f>
        <v>1</v>
      </c>
      <c r="W150" s="82"/>
      <c r="X150" s="82"/>
      <c r="Y150" s="82"/>
    </row>
    <row r="151" spans="1:25" ht="30" customHeight="1" x14ac:dyDescent="0.45">
      <c r="A151" s="12">
        <f>_xlfn.XLOOKUP(150,OfficialTeamList[Row],OfficialTeamList[Team Number],"ERROR",0)</f>
        <v>0</v>
      </c>
      <c r="B151" s="42" t="str">
        <f>_xlfn.XLOOKUP(CoreValuesResults[[#This Row],[Team Number]],OfficialTeamList[Team Number],OfficialTeamList[Team Name],"",0,)</f>
        <v/>
      </c>
      <c r="C151" s="87">
        <f>_xlfn.XLOOKUP(CoreValuesResults[[#This Row],[Team Number]],InnovationProjectResults[Team Number],InnovationProjectResults[Identify - Research (CV)])</f>
        <v>0</v>
      </c>
      <c r="D151" s="87">
        <f>_xlfn.XLOOKUP(CoreValuesResults[[#This Row],[Team Number]],InnovationProjectResults[Team Number],InnovationProjectResults[Design - Teamwork (CV)])</f>
        <v>0</v>
      </c>
      <c r="E151" s="87">
        <f>_xlfn.XLOOKUP(CoreValuesResults[[#This Row],[Team Number]],InnovationProjectResults[Team Number],InnovationProjectResults[Create - Innovation (CV)])</f>
        <v>0</v>
      </c>
      <c r="F151" s="87">
        <f>_xlfn.XLOOKUP(CoreValuesResults[[#This Row],[Team Number]],InnovationProjectResults[Team Number],InnovationProjectResults[Communicate - Impact (CV)])</f>
        <v>0</v>
      </c>
      <c r="G151" s="87">
        <f>_xlfn.XLOOKUP(CoreValuesResults[[#This Row],[Team Number]],InnovationProjectResults[Team Number],InnovationProjectResults[Communicate - Fun (CV)])</f>
        <v>0</v>
      </c>
      <c r="H151" s="87">
        <f>_xlfn.XLOOKUP(CoreValuesResults[[#This Row],[Team Number]],RobotDesignResults[Team Number],RobotDesignResults[Identify - Research (CV)])</f>
        <v>0</v>
      </c>
      <c r="I151" s="87">
        <f>_xlfn.XLOOKUP(CoreValuesResults[[#This Row],[Team Number]],RobotDesignResults[Team Number],RobotDesignResults[Design - Ideas (CV)])</f>
        <v>0</v>
      </c>
      <c r="J151" s="87">
        <f>_xlfn.XLOOKUP(CoreValuesResults[[#This Row],[Team Number]],RobotDesignResults[Team Number],RobotDesignResults[Iterate - Improvements (CV)])</f>
        <v>0</v>
      </c>
      <c r="K151" s="87">
        <f>_xlfn.XLOOKUP(CoreValuesResults[[#This Row],[Team Number]],RobotDesignResults[Team Number],RobotDesignResults[Communicate - Impact (CV)])</f>
        <v>0</v>
      </c>
      <c r="L151" s="87">
        <f>_xlfn.XLOOKUP(CoreValuesResults[[#This Row],[Team Number]],RobotDesignResults[Team Number],RobotDesignResults[Communicate - Fun (CV)])</f>
        <v>0</v>
      </c>
      <c r="M151" s="17"/>
      <c r="N151" s="17"/>
      <c r="O151" s="17"/>
      <c r="P151" s="17"/>
      <c r="Q151" s="17"/>
      <c r="R151" s="12"/>
      <c r="S151" s="12"/>
      <c r="T151" s="12"/>
      <c r="U151" s="83">
        <f>SUM(CoreValuesResults[[#This Row],[Discovery (IP)]:[Fun (RD)]],CoreValuesResults[[#This Row],[Gracious Professionalism Score]])</f>
        <v>0</v>
      </c>
      <c r="V151" s="43">
        <f>IF(CoreValuesResults[[#This Row],[Team Number]]&gt;0,MIN(_xlfn.RANK.EQ(CoreValuesResults[[#This Row],[Core Values Score]],CoreValuesResults[Core Values Score],0),NumberOfTeams),NumberOfTeams+1)</f>
        <v>1</v>
      </c>
      <c r="W151" s="82"/>
      <c r="X151" s="82"/>
      <c r="Y151" s="82"/>
    </row>
    <row r="152" spans="1:25" ht="30" customHeight="1" x14ac:dyDescent="0.45">
      <c r="A152" s="12">
        <f>_xlfn.XLOOKUP(151,OfficialTeamList[Row],OfficialTeamList[Team Number],"ERROR",0)</f>
        <v>0</v>
      </c>
      <c r="B152" s="42" t="str">
        <f>_xlfn.XLOOKUP(CoreValuesResults[[#This Row],[Team Number]],OfficialTeamList[Team Number],OfficialTeamList[Team Name],"",0,)</f>
        <v/>
      </c>
      <c r="C152" s="87">
        <f>_xlfn.XLOOKUP(CoreValuesResults[[#This Row],[Team Number]],InnovationProjectResults[Team Number],InnovationProjectResults[Identify - Research (CV)])</f>
        <v>0</v>
      </c>
      <c r="D152" s="87">
        <f>_xlfn.XLOOKUP(CoreValuesResults[[#This Row],[Team Number]],InnovationProjectResults[Team Number],InnovationProjectResults[Design - Teamwork (CV)])</f>
        <v>0</v>
      </c>
      <c r="E152" s="87">
        <f>_xlfn.XLOOKUP(CoreValuesResults[[#This Row],[Team Number]],InnovationProjectResults[Team Number],InnovationProjectResults[Create - Innovation (CV)])</f>
        <v>0</v>
      </c>
      <c r="F152" s="87">
        <f>_xlfn.XLOOKUP(CoreValuesResults[[#This Row],[Team Number]],InnovationProjectResults[Team Number],InnovationProjectResults[Communicate - Impact (CV)])</f>
        <v>0</v>
      </c>
      <c r="G152" s="87">
        <f>_xlfn.XLOOKUP(CoreValuesResults[[#This Row],[Team Number]],InnovationProjectResults[Team Number],InnovationProjectResults[Communicate - Fun (CV)])</f>
        <v>0</v>
      </c>
      <c r="H152" s="87">
        <f>_xlfn.XLOOKUP(CoreValuesResults[[#This Row],[Team Number]],RobotDesignResults[Team Number],RobotDesignResults[Identify - Research (CV)])</f>
        <v>0</v>
      </c>
      <c r="I152" s="87">
        <f>_xlfn.XLOOKUP(CoreValuesResults[[#This Row],[Team Number]],RobotDesignResults[Team Number],RobotDesignResults[Design - Ideas (CV)])</f>
        <v>0</v>
      </c>
      <c r="J152" s="87">
        <f>_xlfn.XLOOKUP(CoreValuesResults[[#This Row],[Team Number]],RobotDesignResults[Team Number],RobotDesignResults[Iterate - Improvements (CV)])</f>
        <v>0</v>
      </c>
      <c r="K152" s="87">
        <f>_xlfn.XLOOKUP(CoreValuesResults[[#This Row],[Team Number]],RobotDesignResults[Team Number],RobotDesignResults[Communicate - Impact (CV)])</f>
        <v>0</v>
      </c>
      <c r="L152" s="87">
        <f>_xlfn.XLOOKUP(CoreValuesResults[[#This Row],[Team Number]],RobotDesignResults[Team Number],RobotDesignResults[Communicate - Fun (CV)])</f>
        <v>0</v>
      </c>
      <c r="M152" s="17"/>
      <c r="N152" s="17"/>
      <c r="O152" s="17"/>
      <c r="P152" s="17"/>
      <c r="Q152" s="17"/>
      <c r="R152" s="12"/>
      <c r="S152" s="12"/>
      <c r="T152" s="12"/>
      <c r="U152" s="83">
        <f>SUM(CoreValuesResults[[#This Row],[Discovery (IP)]:[Fun (RD)]],CoreValuesResults[[#This Row],[Gracious Professionalism Score]])</f>
        <v>0</v>
      </c>
      <c r="V152" s="43">
        <f>IF(CoreValuesResults[[#This Row],[Team Number]]&gt;0,MIN(_xlfn.RANK.EQ(CoreValuesResults[[#This Row],[Core Values Score]],CoreValuesResults[Core Values Score],0),NumberOfTeams),NumberOfTeams+1)</f>
        <v>1</v>
      </c>
      <c r="W152" s="82"/>
      <c r="X152" s="82"/>
      <c r="Y152" s="82"/>
    </row>
    <row r="153" spans="1:25" ht="30" customHeight="1" x14ac:dyDescent="0.45">
      <c r="A153" s="12">
        <f>_xlfn.XLOOKUP(152,OfficialTeamList[Row],OfficialTeamList[Team Number],"ERROR",0)</f>
        <v>0</v>
      </c>
      <c r="B153" s="42" t="str">
        <f>_xlfn.XLOOKUP(CoreValuesResults[[#This Row],[Team Number]],OfficialTeamList[Team Number],OfficialTeamList[Team Name],"",0,)</f>
        <v/>
      </c>
      <c r="C153" s="87">
        <f>_xlfn.XLOOKUP(CoreValuesResults[[#This Row],[Team Number]],InnovationProjectResults[Team Number],InnovationProjectResults[Identify - Research (CV)])</f>
        <v>0</v>
      </c>
      <c r="D153" s="87">
        <f>_xlfn.XLOOKUP(CoreValuesResults[[#This Row],[Team Number]],InnovationProjectResults[Team Number],InnovationProjectResults[Design - Teamwork (CV)])</f>
        <v>0</v>
      </c>
      <c r="E153" s="87">
        <f>_xlfn.XLOOKUP(CoreValuesResults[[#This Row],[Team Number]],InnovationProjectResults[Team Number],InnovationProjectResults[Create - Innovation (CV)])</f>
        <v>0</v>
      </c>
      <c r="F153" s="87">
        <f>_xlfn.XLOOKUP(CoreValuesResults[[#This Row],[Team Number]],InnovationProjectResults[Team Number],InnovationProjectResults[Communicate - Impact (CV)])</f>
        <v>0</v>
      </c>
      <c r="G153" s="87">
        <f>_xlfn.XLOOKUP(CoreValuesResults[[#This Row],[Team Number]],InnovationProjectResults[Team Number],InnovationProjectResults[Communicate - Fun (CV)])</f>
        <v>0</v>
      </c>
      <c r="H153" s="87">
        <f>_xlfn.XLOOKUP(CoreValuesResults[[#This Row],[Team Number]],RobotDesignResults[Team Number],RobotDesignResults[Identify - Research (CV)])</f>
        <v>0</v>
      </c>
      <c r="I153" s="87">
        <f>_xlfn.XLOOKUP(CoreValuesResults[[#This Row],[Team Number]],RobotDesignResults[Team Number],RobotDesignResults[Design - Ideas (CV)])</f>
        <v>0</v>
      </c>
      <c r="J153" s="87">
        <f>_xlfn.XLOOKUP(CoreValuesResults[[#This Row],[Team Number]],RobotDesignResults[Team Number],RobotDesignResults[Iterate - Improvements (CV)])</f>
        <v>0</v>
      </c>
      <c r="K153" s="87">
        <f>_xlfn.XLOOKUP(CoreValuesResults[[#This Row],[Team Number]],RobotDesignResults[Team Number],RobotDesignResults[Communicate - Impact (CV)])</f>
        <v>0</v>
      </c>
      <c r="L153" s="87">
        <f>_xlfn.XLOOKUP(CoreValuesResults[[#This Row],[Team Number]],RobotDesignResults[Team Number],RobotDesignResults[Communicate - Fun (CV)])</f>
        <v>0</v>
      </c>
      <c r="M153" s="17"/>
      <c r="N153" s="17"/>
      <c r="O153" s="17"/>
      <c r="P153" s="17"/>
      <c r="Q153" s="17"/>
      <c r="R153" s="12"/>
      <c r="S153" s="12"/>
      <c r="T153" s="12"/>
      <c r="U153" s="83">
        <f>SUM(CoreValuesResults[[#This Row],[Discovery (IP)]:[Fun (RD)]],CoreValuesResults[[#This Row],[Gracious Professionalism Score]])</f>
        <v>0</v>
      </c>
      <c r="V153" s="43">
        <f>IF(CoreValuesResults[[#This Row],[Team Number]]&gt;0,MIN(_xlfn.RANK.EQ(CoreValuesResults[[#This Row],[Core Values Score]],CoreValuesResults[Core Values Score],0),NumberOfTeams),NumberOfTeams+1)</f>
        <v>1</v>
      </c>
      <c r="W153" s="82"/>
      <c r="X153" s="82"/>
      <c r="Y153" s="82"/>
    </row>
    <row r="154" spans="1:25" ht="30" customHeight="1" x14ac:dyDescent="0.45">
      <c r="A154" s="12">
        <f>_xlfn.XLOOKUP(153,OfficialTeamList[Row],OfficialTeamList[Team Number],"ERROR",0)</f>
        <v>0</v>
      </c>
      <c r="B154" s="42" t="str">
        <f>_xlfn.XLOOKUP(CoreValuesResults[[#This Row],[Team Number]],OfficialTeamList[Team Number],OfficialTeamList[Team Name],"",0,)</f>
        <v/>
      </c>
      <c r="C154" s="87">
        <f>_xlfn.XLOOKUP(CoreValuesResults[[#This Row],[Team Number]],InnovationProjectResults[Team Number],InnovationProjectResults[Identify - Research (CV)])</f>
        <v>0</v>
      </c>
      <c r="D154" s="87">
        <f>_xlfn.XLOOKUP(CoreValuesResults[[#This Row],[Team Number]],InnovationProjectResults[Team Number],InnovationProjectResults[Design - Teamwork (CV)])</f>
        <v>0</v>
      </c>
      <c r="E154" s="87">
        <f>_xlfn.XLOOKUP(CoreValuesResults[[#This Row],[Team Number]],InnovationProjectResults[Team Number],InnovationProjectResults[Create - Innovation (CV)])</f>
        <v>0</v>
      </c>
      <c r="F154" s="87">
        <f>_xlfn.XLOOKUP(CoreValuesResults[[#This Row],[Team Number]],InnovationProjectResults[Team Number],InnovationProjectResults[Communicate - Impact (CV)])</f>
        <v>0</v>
      </c>
      <c r="G154" s="87">
        <f>_xlfn.XLOOKUP(CoreValuesResults[[#This Row],[Team Number]],InnovationProjectResults[Team Number],InnovationProjectResults[Communicate - Fun (CV)])</f>
        <v>0</v>
      </c>
      <c r="H154" s="87">
        <f>_xlfn.XLOOKUP(CoreValuesResults[[#This Row],[Team Number]],RobotDesignResults[Team Number],RobotDesignResults[Identify - Research (CV)])</f>
        <v>0</v>
      </c>
      <c r="I154" s="87">
        <f>_xlfn.XLOOKUP(CoreValuesResults[[#This Row],[Team Number]],RobotDesignResults[Team Number],RobotDesignResults[Design - Ideas (CV)])</f>
        <v>0</v>
      </c>
      <c r="J154" s="87">
        <f>_xlfn.XLOOKUP(CoreValuesResults[[#This Row],[Team Number]],RobotDesignResults[Team Number],RobotDesignResults[Iterate - Improvements (CV)])</f>
        <v>0</v>
      </c>
      <c r="K154" s="87">
        <f>_xlfn.XLOOKUP(CoreValuesResults[[#This Row],[Team Number]],RobotDesignResults[Team Number],RobotDesignResults[Communicate - Impact (CV)])</f>
        <v>0</v>
      </c>
      <c r="L154" s="87">
        <f>_xlfn.XLOOKUP(CoreValuesResults[[#This Row],[Team Number]],RobotDesignResults[Team Number],RobotDesignResults[Communicate - Fun (CV)])</f>
        <v>0</v>
      </c>
      <c r="M154" s="17"/>
      <c r="N154" s="17"/>
      <c r="O154" s="17"/>
      <c r="P154" s="17"/>
      <c r="Q154" s="17"/>
      <c r="R154" s="12"/>
      <c r="S154" s="12"/>
      <c r="T154" s="12"/>
      <c r="U154" s="83">
        <f>SUM(CoreValuesResults[[#This Row],[Discovery (IP)]:[Fun (RD)]],CoreValuesResults[[#This Row],[Gracious Professionalism Score]])</f>
        <v>0</v>
      </c>
      <c r="V154" s="43">
        <f>IF(CoreValuesResults[[#This Row],[Team Number]]&gt;0,MIN(_xlfn.RANK.EQ(CoreValuesResults[[#This Row],[Core Values Score]],CoreValuesResults[Core Values Score],0),NumberOfTeams),NumberOfTeams+1)</f>
        <v>1</v>
      </c>
      <c r="W154" s="82"/>
      <c r="X154" s="82"/>
      <c r="Y154" s="82"/>
    </row>
    <row r="155" spans="1:25" ht="30" customHeight="1" x14ac:dyDescent="0.45">
      <c r="A155" s="12">
        <f>_xlfn.XLOOKUP(154,OfficialTeamList[Row],OfficialTeamList[Team Number],"ERROR",0)</f>
        <v>0</v>
      </c>
      <c r="B155" s="42" t="str">
        <f>_xlfn.XLOOKUP(CoreValuesResults[[#This Row],[Team Number]],OfficialTeamList[Team Number],OfficialTeamList[Team Name],"",0,)</f>
        <v/>
      </c>
      <c r="C155" s="87">
        <f>_xlfn.XLOOKUP(CoreValuesResults[[#This Row],[Team Number]],InnovationProjectResults[Team Number],InnovationProjectResults[Identify - Research (CV)])</f>
        <v>0</v>
      </c>
      <c r="D155" s="87">
        <f>_xlfn.XLOOKUP(CoreValuesResults[[#This Row],[Team Number]],InnovationProjectResults[Team Number],InnovationProjectResults[Design - Teamwork (CV)])</f>
        <v>0</v>
      </c>
      <c r="E155" s="87">
        <f>_xlfn.XLOOKUP(CoreValuesResults[[#This Row],[Team Number]],InnovationProjectResults[Team Number],InnovationProjectResults[Create - Innovation (CV)])</f>
        <v>0</v>
      </c>
      <c r="F155" s="87">
        <f>_xlfn.XLOOKUP(CoreValuesResults[[#This Row],[Team Number]],InnovationProjectResults[Team Number],InnovationProjectResults[Communicate - Impact (CV)])</f>
        <v>0</v>
      </c>
      <c r="G155" s="87">
        <f>_xlfn.XLOOKUP(CoreValuesResults[[#This Row],[Team Number]],InnovationProjectResults[Team Number],InnovationProjectResults[Communicate - Fun (CV)])</f>
        <v>0</v>
      </c>
      <c r="H155" s="87">
        <f>_xlfn.XLOOKUP(CoreValuesResults[[#This Row],[Team Number]],RobotDesignResults[Team Number],RobotDesignResults[Identify - Research (CV)])</f>
        <v>0</v>
      </c>
      <c r="I155" s="87">
        <f>_xlfn.XLOOKUP(CoreValuesResults[[#This Row],[Team Number]],RobotDesignResults[Team Number],RobotDesignResults[Design - Ideas (CV)])</f>
        <v>0</v>
      </c>
      <c r="J155" s="87">
        <f>_xlfn.XLOOKUP(CoreValuesResults[[#This Row],[Team Number]],RobotDesignResults[Team Number],RobotDesignResults[Iterate - Improvements (CV)])</f>
        <v>0</v>
      </c>
      <c r="K155" s="87">
        <f>_xlfn.XLOOKUP(CoreValuesResults[[#This Row],[Team Number]],RobotDesignResults[Team Number],RobotDesignResults[Communicate - Impact (CV)])</f>
        <v>0</v>
      </c>
      <c r="L155" s="87">
        <f>_xlfn.XLOOKUP(CoreValuesResults[[#This Row],[Team Number]],RobotDesignResults[Team Number],RobotDesignResults[Communicate - Fun (CV)])</f>
        <v>0</v>
      </c>
      <c r="M155" s="17"/>
      <c r="N155" s="17"/>
      <c r="O155" s="17"/>
      <c r="P155" s="17"/>
      <c r="Q155" s="17"/>
      <c r="R155" s="12"/>
      <c r="S155" s="12"/>
      <c r="T155" s="12"/>
      <c r="U155" s="83">
        <f>SUM(CoreValuesResults[[#This Row],[Discovery (IP)]:[Fun (RD)]],CoreValuesResults[[#This Row],[Gracious Professionalism Score]])</f>
        <v>0</v>
      </c>
      <c r="V155" s="43">
        <f>IF(CoreValuesResults[[#This Row],[Team Number]]&gt;0,MIN(_xlfn.RANK.EQ(CoreValuesResults[[#This Row],[Core Values Score]],CoreValuesResults[Core Values Score],0),NumberOfTeams),NumberOfTeams+1)</f>
        <v>1</v>
      </c>
      <c r="W155" s="82"/>
      <c r="X155" s="82"/>
      <c r="Y155" s="82"/>
    </row>
    <row r="156" spans="1:25" ht="30" customHeight="1" x14ac:dyDescent="0.45">
      <c r="A156" s="12">
        <f>_xlfn.XLOOKUP(155,OfficialTeamList[Row],OfficialTeamList[Team Number],"ERROR",0)</f>
        <v>0</v>
      </c>
      <c r="B156" s="42" t="str">
        <f>_xlfn.XLOOKUP(CoreValuesResults[[#This Row],[Team Number]],OfficialTeamList[Team Number],OfficialTeamList[Team Name],"",0,)</f>
        <v/>
      </c>
      <c r="C156" s="87">
        <f>_xlfn.XLOOKUP(CoreValuesResults[[#This Row],[Team Number]],InnovationProjectResults[Team Number],InnovationProjectResults[Identify - Research (CV)])</f>
        <v>0</v>
      </c>
      <c r="D156" s="87">
        <f>_xlfn.XLOOKUP(CoreValuesResults[[#This Row],[Team Number]],InnovationProjectResults[Team Number],InnovationProjectResults[Design - Teamwork (CV)])</f>
        <v>0</v>
      </c>
      <c r="E156" s="87">
        <f>_xlfn.XLOOKUP(CoreValuesResults[[#This Row],[Team Number]],InnovationProjectResults[Team Number],InnovationProjectResults[Create - Innovation (CV)])</f>
        <v>0</v>
      </c>
      <c r="F156" s="87">
        <f>_xlfn.XLOOKUP(CoreValuesResults[[#This Row],[Team Number]],InnovationProjectResults[Team Number],InnovationProjectResults[Communicate - Impact (CV)])</f>
        <v>0</v>
      </c>
      <c r="G156" s="87">
        <f>_xlfn.XLOOKUP(CoreValuesResults[[#This Row],[Team Number]],InnovationProjectResults[Team Number],InnovationProjectResults[Communicate - Fun (CV)])</f>
        <v>0</v>
      </c>
      <c r="H156" s="87">
        <f>_xlfn.XLOOKUP(CoreValuesResults[[#This Row],[Team Number]],RobotDesignResults[Team Number],RobotDesignResults[Identify - Research (CV)])</f>
        <v>0</v>
      </c>
      <c r="I156" s="87">
        <f>_xlfn.XLOOKUP(CoreValuesResults[[#This Row],[Team Number]],RobotDesignResults[Team Number],RobotDesignResults[Design - Ideas (CV)])</f>
        <v>0</v>
      </c>
      <c r="J156" s="87">
        <f>_xlfn.XLOOKUP(CoreValuesResults[[#This Row],[Team Number]],RobotDesignResults[Team Number],RobotDesignResults[Iterate - Improvements (CV)])</f>
        <v>0</v>
      </c>
      <c r="K156" s="87">
        <f>_xlfn.XLOOKUP(CoreValuesResults[[#This Row],[Team Number]],RobotDesignResults[Team Number],RobotDesignResults[Communicate - Impact (CV)])</f>
        <v>0</v>
      </c>
      <c r="L156" s="87">
        <f>_xlfn.XLOOKUP(CoreValuesResults[[#This Row],[Team Number]],RobotDesignResults[Team Number],RobotDesignResults[Communicate - Fun (CV)])</f>
        <v>0</v>
      </c>
      <c r="M156" s="17"/>
      <c r="N156" s="17"/>
      <c r="O156" s="17"/>
      <c r="P156" s="17"/>
      <c r="Q156" s="17"/>
      <c r="R156" s="12"/>
      <c r="S156" s="12"/>
      <c r="T156" s="12"/>
      <c r="U156" s="83">
        <f>SUM(CoreValuesResults[[#This Row],[Discovery (IP)]:[Fun (RD)]],CoreValuesResults[[#This Row],[Gracious Professionalism Score]])</f>
        <v>0</v>
      </c>
      <c r="V156" s="43">
        <f>IF(CoreValuesResults[[#This Row],[Team Number]]&gt;0,MIN(_xlfn.RANK.EQ(CoreValuesResults[[#This Row],[Core Values Score]],CoreValuesResults[Core Values Score],0),NumberOfTeams),NumberOfTeams+1)</f>
        <v>1</v>
      </c>
      <c r="W156" s="82"/>
      <c r="X156" s="82"/>
      <c r="Y156" s="82"/>
    </row>
    <row r="157" spans="1:25" ht="30" customHeight="1" x14ac:dyDescent="0.45">
      <c r="A157" s="12">
        <f>_xlfn.XLOOKUP(156,OfficialTeamList[Row],OfficialTeamList[Team Number],"ERROR",0)</f>
        <v>0</v>
      </c>
      <c r="B157" s="42" t="str">
        <f>_xlfn.XLOOKUP(CoreValuesResults[[#This Row],[Team Number]],OfficialTeamList[Team Number],OfficialTeamList[Team Name],"",0,)</f>
        <v/>
      </c>
      <c r="C157" s="87">
        <f>_xlfn.XLOOKUP(CoreValuesResults[[#This Row],[Team Number]],InnovationProjectResults[Team Number],InnovationProjectResults[Identify - Research (CV)])</f>
        <v>0</v>
      </c>
      <c r="D157" s="87">
        <f>_xlfn.XLOOKUP(CoreValuesResults[[#This Row],[Team Number]],InnovationProjectResults[Team Number],InnovationProjectResults[Design - Teamwork (CV)])</f>
        <v>0</v>
      </c>
      <c r="E157" s="87">
        <f>_xlfn.XLOOKUP(CoreValuesResults[[#This Row],[Team Number]],InnovationProjectResults[Team Number],InnovationProjectResults[Create - Innovation (CV)])</f>
        <v>0</v>
      </c>
      <c r="F157" s="87">
        <f>_xlfn.XLOOKUP(CoreValuesResults[[#This Row],[Team Number]],InnovationProjectResults[Team Number],InnovationProjectResults[Communicate - Impact (CV)])</f>
        <v>0</v>
      </c>
      <c r="G157" s="87">
        <f>_xlfn.XLOOKUP(CoreValuesResults[[#This Row],[Team Number]],InnovationProjectResults[Team Number],InnovationProjectResults[Communicate - Fun (CV)])</f>
        <v>0</v>
      </c>
      <c r="H157" s="87">
        <f>_xlfn.XLOOKUP(CoreValuesResults[[#This Row],[Team Number]],RobotDesignResults[Team Number],RobotDesignResults[Identify - Research (CV)])</f>
        <v>0</v>
      </c>
      <c r="I157" s="87">
        <f>_xlfn.XLOOKUP(CoreValuesResults[[#This Row],[Team Number]],RobotDesignResults[Team Number],RobotDesignResults[Design - Ideas (CV)])</f>
        <v>0</v>
      </c>
      <c r="J157" s="87">
        <f>_xlfn.XLOOKUP(CoreValuesResults[[#This Row],[Team Number]],RobotDesignResults[Team Number],RobotDesignResults[Iterate - Improvements (CV)])</f>
        <v>0</v>
      </c>
      <c r="K157" s="87">
        <f>_xlfn.XLOOKUP(CoreValuesResults[[#This Row],[Team Number]],RobotDesignResults[Team Number],RobotDesignResults[Communicate - Impact (CV)])</f>
        <v>0</v>
      </c>
      <c r="L157" s="87">
        <f>_xlfn.XLOOKUP(CoreValuesResults[[#This Row],[Team Number]],RobotDesignResults[Team Number],RobotDesignResults[Communicate - Fun (CV)])</f>
        <v>0</v>
      </c>
      <c r="M157" s="17"/>
      <c r="N157" s="17"/>
      <c r="O157" s="17"/>
      <c r="P157" s="17"/>
      <c r="Q157" s="17"/>
      <c r="R157" s="12"/>
      <c r="S157" s="12"/>
      <c r="T157" s="12"/>
      <c r="U157" s="83">
        <f>SUM(CoreValuesResults[[#This Row],[Discovery (IP)]:[Fun (RD)]],CoreValuesResults[[#This Row],[Gracious Professionalism Score]])</f>
        <v>0</v>
      </c>
      <c r="V157" s="43">
        <f>IF(CoreValuesResults[[#This Row],[Team Number]]&gt;0,MIN(_xlfn.RANK.EQ(CoreValuesResults[[#This Row],[Core Values Score]],CoreValuesResults[Core Values Score],0),NumberOfTeams),NumberOfTeams+1)</f>
        <v>1</v>
      </c>
      <c r="W157" s="82"/>
      <c r="X157" s="82"/>
      <c r="Y157" s="82"/>
    </row>
    <row r="158" spans="1:25" ht="30" customHeight="1" x14ac:dyDescent="0.45">
      <c r="A158" s="12">
        <f>_xlfn.XLOOKUP(157,OfficialTeamList[Row],OfficialTeamList[Team Number],"ERROR",0)</f>
        <v>0</v>
      </c>
      <c r="B158" s="42" t="str">
        <f>_xlfn.XLOOKUP(CoreValuesResults[[#This Row],[Team Number]],OfficialTeamList[Team Number],OfficialTeamList[Team Name],"",0,)</f>
        <v/>
      </c>
      <c r="C158" s="87">
        <f>_xlfn.XLOOKUP(CoreValuesResults[[#This Row],[Team Number]],InnovationProjectResults[Team Number],InnovationProjectResults[Identify - Research (CV)])</f>
        <v>0</v>
      </c>
      <c r="D158" s="87">
        <f>_xlfn.XLOOKUP(CoreValuesResults[[#This Row],[Team Number]],InnovationProjectResults[Team Number],InnovationProjectResults[Design - Teamwork (CV)])</f>
        <v>0</v>
      </c>
      <c r="E158" s="87">
        <f>_xlfn.XLOOKUP(CoreValuesResults[[#This Row],[Team Number]],InnovationProjectResults[Team Number],InnovationProjectResults[Create - Innovation (CV)])</f>
        <v>0</v>
      </c>
      <c r="F158" s="87">
        <f>_xlfn.XLOOKUP(CoreValuesResults[[#This Row],[Team Number]],InnovationProjectResults[Team Number],InnovationProjectResults[Communicate - Impact (CV)])</f>
        <v>0</v>
      </c>
      <c r="G158" s="87">
        <f>_xlfn.XLOOKUP(CoreValuesResults[[#This Row],[Team Number]],InnovationProjectResults[Team Number],InnovationProjectResults[Communicate - Fun (CV)])</f>
        <v>0</v>
      </c>
      <c r="H158" s="87">
        <f>_xlfn.XLOOKUP(CoreValuesResults[[#This Row],[Team Number]],RobotDesignResults[Team Number],RobotDesignResults[Identify - Research (CV)])</f>
        <v>0</v>
      </c>
      <c r="I158" s="87">
        <f>_xlfn.XLOOKUP(CoreValuesResults[[#This Row],[Team Number]],RobotDesignResults[Team Number],RobotDesignResults[Design - Ideas (CV)])</f>
        <v>0</v>
      </c>
      <c r="J158" s="87">
        <f>_xlfn.XLOOKUP(CoreValuesResults[[#This Row],[Team Number]],RobotDesignResults[Team Number],RobotDesignResults[Iterate - Improvements (CV)])</f>
        <v>0</v>
      </c>
      <c r="K158" s="87">
        <f>_xlfn.XLOOKUP(CoreValuesResults[[#This Row],[Team Number]],RobotDesignResults[Team Number],RobotDesignResults[Communicate - Impact (CV)])</f>
        <v>0</v>
      </c>
      <c r="L158" s="87">
        <f>_xlfn.XLOOKUP(CoreValuesResults[[#This Row],[Team Number]],RobotDesignResults[Team Number],RobotDesignResults[Communicate - Fun (CV)])</f>
        <v>0</v>
      </c>
      <c r="M158" s="17"/>
      <c r="N158" s="17"/>
      <c r="O158" s="17"/>
      <c r="P158" s="17"/>
      <c r="Q158" s="17"/>
      <c r="R158" s="12"/>
      <c r="S158" s="12"/>
      <c r="T158" s="12"/>
      <c r="U158" s="83">
        <f>SUM(CoreValuesResults[[#This Row],[Discovery (IP)]:[Fun (RD)]],CoreValuesResults[[#This Row],[Gracious Professionalism Score]])</f>
        <v>0</v>
      </c>
      <c r="V158" s="43">
        <f>IF(CoreValuesResults[[#This Row],[Team Number]]&gt;0,MIN(_xlfn.RANK.EQ(CoreValuesResults[[#This Row],[Core Values Score]],CoreValuesResults[Core Values Score],0),NumberOfTeams),NumberOfTeams+1)</f>
        <v>1</v>
      </c>
      <c r="W158" s="82"/>
      <c r="X158" s="82"/>
      <c r="Y158" s="82"/>
    </row>
    <row r="159" spans="1:25" ht="30" customHeight="1" x14ac:dyDescent="0.45">
      <c r="A159" s="12">
        <f>_xlfn.XLOOKUP(158,OfficialTeamList[Row],OfficialTeamList[Team Number],"ERROR",0)</f>
        <v>0</v>
      </c>
      <c r="B159" s="42" t="str">
        <f>_xlfn.XLOOKUP(CoreValuesResults[[#This Row],[Team Number]],OfficialTeamList[Team Number],OfficialTeamList[Team Name],"",0,)</f>
        <v/>
      </c>
      <c r="C159" s="87">
        <f>_xlfn.XLOOKUP(CoreValuesResults[[#This Row],[Team Number]],InnovationProjectResults[Team Number],InnovationProjectResults[Identify - Research (CV)])</f>
        <v>0</v>
      </c>
      <c r="D159" s="87">
        <f>_xlfn.XLOOKUP(CoreValuesResults[[#This Row],[Team Number]],InnovationProjectResults[Team Number],InnovationProjectResults[Design - Teamwork (CV)])</f>
        <v>0</v>
      </c>
      <c r="E159" s="87">
        <f>_xlfn.XLOOKUP(CoreValuesResults[[#This Row],[Team Number]],InnovationProjectResults[Team Number],InnovationProjectResults[Create - Innovation (CV)])</f>
        <v>0</v>
      </c>
      <c r="F159" s="87">
        <f>_xlfn.XLOOKUP(CoreValuesResults[[#This Row],[Team Number]],InnovationProjectResults[Team Number],InnovationProjectResults[Communicate - Impact (CV)])</f>
        <v>0</v>
      </c>
      <c r="G159" s="87">
        <f>_xlfn.XLOOKUP(CoreValuesResults[[#This Row],[Team Number]],InnovationProjectResults[Team Number],InnovationProjectResults[Communicate - Fun (CV)])</f>
        <v>0</v>
      </c>
      <c r="H159" s="87">
        <f>_xlfn.XLOOKUP(CoreValuesResults[[#This Row],[Team Number]],RobotDesignResults[Team Number],RobotDesignResults[Identify - Research (CV)])</f>
        <v>0</v>
      </c>
      <c r="I159" s="87">
        <f>_xlfn.XLOOKUP(CoreValuesResults[[#This Row],[Team Number]],RobotDesignResults[Team Number],RobotDesignResults[Design - Ideas (CV)])</f>
        <v>0</v>
      </c>
      <c r="J159" s="87">
        <f>_xlfn.XLOOKUP(CoreValuesResults[[#This Row],[Team Number]],RobotDesignResults[Team Number],RobotDesignResults[Iterate - Improvements (CV)])</f>
        <v>0</v>
      </c>
      <c r="K159" s="87">
        <f>_xlfn.XLOOKUP(CoreValuesResults[[#This Row],[Team Number]],RobotDesignResults[Team Number],RobotDesignResults[Communicate - Impact (CV)])</f>
        <v>0</v>
      </c>
      <c r="L159" s="87">
        <f>_xlfn.XLOOKUP(CoreValuesResults[[#This Row],[Team Number]],RobotDesignResults[Team Number],RobotDesignResults[Communicate - Fun (CV)])</f>
        <v>0</v>
      </c>
      <c r="M159" s="17"/>
      <c r="N159" s="17"/>
      <c r="O159" s="17"/>
      <c r="P159" s="17"/>
      <c r="Q159" s="17"/>
      <c r="R159" s="12"/>
      <c r="S159" s="12"/>
      <c r="T159" s="12"/>
      <c r="U159" s="83">
        <f>SUM(CoreValuesResults[[#This Row],[Discovery (IP)]:[Fun (RD)]],CoreValuesResults[[#This Row],[Gracious Professionalism Score]])</f>
        <v>0</v>
      </c>
      <c r="V159" s="43">
        <f>IF(CoreValuesResults[[#This Row],[Team Number]]&gt;0,MIN(_xlfn.RANK.EQ(CoreValuesResults[[#This Row],[Core Values Score]],CoreValuesResults[Core Values Score],0),NumberOfTeams),NumberOfTeams+1)</f>
        <v>1</v>
      </c>
      <c r="W159" s="82"/>
      <c r="X159" s="82"/>
      <c r="Y159" s="82"/>
    </row>
    <row r="160" spans="1:25" ht="30" customHeight="1" x14ac:dyDescent="0.45">
      <c r="A160" s="12">
        <f>_xlfn.XLOOKUP(159,OfficialTeamList[Row],OfficialTeamList[Team Number],"ERROR",0)</f>
        <v>0</v>
      </c>
      <c r="B160" s="42" t="str">
        <f>_xlfn.XLOOKUP(CoreValuesResults[[#This Row],[Team Number]],OfficialTeamList[Team Number],OfficialTeamList[Team Name],"",0,)</f>
        <v/>
      </c>
      <c r="C160" s="87">
        <f>_xlfn.XLOOKUP(CoreValuesResults[[#This Row],[Team Number]],InnovationProjectResults[Team Number],InnovationProjectResults[Identify - Research (CV)])</f>
        <v>0</v>
      </c>
      <c r="D160" s="87">
        <f>_xlfn.XLOOKUP(CoreValuesResults[[#This Row],[Team Number]],InnovationProjectResults[Team Number],InnovationProjectResults[Design - Teamwork (CV)])</f>
        <v>0</v>
      </c>
      <c r="E160" s="87">
        <f>_xlfn.XLOOKUP(CoreValuesResults[[#This Row],[Team Number]],InnovationProjectResults[Team Number],InnovationProjectResults[Create - Innovation (CV)])</f>
        <v>0</v>
      </c>
      <c r="F160" s="87">
        <f>_xlfn.XLOOKUP(CoreValuesResults[[#This Row],[Team Number]],InnovationProjectResults[Team Number],InnovationProjectResults[Communicate - Impact (CV)])</f>
        <v>0</v>
      </c>
      <c r="G160" s="87">
        <f>_xlfn.XLOOKUP(CoreValuesResults[[#This Row],[Team Number]],InnovationProjectResults[Team Number],InnovationProjectResults[Communicate - Fun (CV)])</f>
        <v>0</v>
      </c>
      <c r="H160" s="87">
        <f>_xlfn.XLOOKUP(CoreValuesResults[[#This Row],[Team Number]],RobotDesignResults[Team Number],RobotDesignResults[Identify - Research (CV)])</f>
        <v>0</v>
      </c>
      <c r="I160" s="87">
        <f>_xlfn.XLOOKUP(CoreValuesResults[[#This Row],[Team Number]],RobotDesignResults[Team Number],RobotDesignResults[Design - Ideas (CV)])</f>
        <v>0</v>
      </c>
      <c r="J160" s="87">
        <f>_xlfn.XLOOKUP(CoreValuesResults[[#This Row],[Team Number]],RobotDesignResults[Team Number],RobotDesignResults[Iterate - Improvements (CV)])</f>
        <v>0</v>
      </c>
      <c r="K160" s="87">
        <f>_xlfn.XLOOKUP(CoreValuesResults[[#This Row],[Team Number]],RobotDesignResults[Team Number],RobotDesignResults[Communicate - Impact (CV)])</f>
        <v>0</v>
      </c>
      <c r="L160" s="87">
        <f>_xlfn.XLOOKUP(CoreValuesResults[[#This Row],[Team Number]],RobotDesignResults[Team Number],RobotDesignResults[Communicate - Fun (CV)])</f>
        <v>0</v>
      </c>
      <c r="M160" s="17"/>
      <c r="N160" s="17"/>
      <c r="O160" s="17"/>
      <c r="P160" s="17"/>
      <c r="Q160" s="17"/>
      <c r="R160" s="12"/>
      <c r="S160" s="12"/>
      <c r="T160" s="12"/>
      <c r="U160" s="83">
        <f>SUM(CoreValuesResults[[#This Row],[Discovery (IP)]:[Fun (RD)]],CoreValuesResults[[#This Row],[Gracious Professionalism Score]])</f>
        <v>0</v>
      </c>
      <c r="V160" s="43">
        <f>IF(CoreValuesResults[[#This Row],[Team Number]]&gt;0,MIN(_xlfn.RANK.EQ(CoreValuesResults[[#This Row],[Core Values Score]],CoreValuesResults[Core Values Score],0),NumberOfTeams),NumberOfTeams+1)</f>
        <v>1</v>
      </c>
      <c r="W160" s="82"/>
      <c r="X160" s="82"/>
      <c r="Y160" s="82"/>
    </row>
    <row r="161" spans="1:25" ht="30" customHeight="1" x14ac:dyDescent="0.45">
      <c r="A161" s="12">
        <f>_xlfn.XLOOKUP(160,OfficialTeamList[Row],OfficialTeamList[Team Number],"ERROR",0)</f>
        <v>0</v>
      </c>
      <c r="B161" s="42" t="str">
        <f>_xlfn.XLOOKUP(CoreValuesResults[[#This Row],[Team Number]],OfficialTeamList[Team Number],OfficialTeamList[Team Name],"",0,)</f>
        <v/>
      </c>
      <c r="C161" s="87">
        <f>_xlfn.XLOOKUP(CoreValuesResults[[#This Row],[Team Number]],InnovationProjectResults[Team Number],InnovationProjectResults[Identify - Research (CV)])</f>
        <v>0</v>
      </c>
      <c r="D161" s="87">
        <f>_xlfn.XLOOKUP(CoreValuesResults[[#This Row],[Team Number]],InnovationProjectResults[Team Number],InnovationProjectResults[Design - Teamwork (CV)])</f>
        <v>0</v>
      </c>
      <c r="E161" s="87">
        <f>_xlfn.XLOOKUP(CoreValuesResults[[#This Row],[Team Number]],InnovationProjectResults[Team Number],InnovationProjectResults[Create - Innovation (CV)])</f>
        <v>0</v>
      </c>
      <c r="F161" s="87">
        <f>_xlfn.XLOOKUP(CoreValuesResults[[#This Row],[Team Number]],InnovationProjectResults[Team Number],InnovationProjectResults[Communicate - Impact (CV)])</f>
        <v>0</v>
      </c>
      <c r="G161" s="87">
        <f>_xlfn.XLOOKUP(CoreValuesResults[[#This Row],[Team Number]],InnovationProjectResults[Team Number],InnovationProjectResults[Communicate - Fun (CV)])</f>
        <v>0</v>
      </c>
      <c r="H161" s="87">
        <f>_xlfn.XLOOKUP(CoreValuesResults[[#This Row],[Team Number]],RobotDesignResults[Team Number],RobotDesignResults[Identify - Research (CV)])</f>
        <v>0</v>
      </c>
      <c r="I161" s="87">
        <f>_xlfn.XLOOKUP(CoreValuesResults[[#This Row],[Team Number]],RobotDesignResults[Team Number],RobotDesignResults[Design - Ideas (CV)])</f>
        <v>0</v>
      </c>
      <c r="J161" s="87">
        <f>_xlfn.XLOOKUP(CoreValuesResults[[#This Row],[Team Number]],RobotDesignResults[Team Number],RobotDesignResults[Iterate - Improvements (CV)])</f>
        <v>0</v>
      </c>
      <c r="K161" s="87">
        <f>_xlfn.XLOOKUP(CoreValuesResults[[#This Row],[Team Number]],RobotDesignResults[Team Number],RobotDesignResults[Communicate - Impact (CV)])</f>
        <v>0</v>
      </c>
      <c r="L161" s="87">
        <f>_xlfn.XLOOKUP(CoreValuesResults[[#This Row],[Team Number]],RobotDesignResults[Team Number],RobotDesignResults[Communicate - Fun (CV)])</f>
        <v>0</v>
      </c>
      <c r="M161" s="17"/>
      <c r="N161" s="17"/>
      <c r="O161" s="17"/>
      <c r="P161" s="17"/>
      <c r="Q161" s="17"/>
      <c r="R161" s="12"/>
      <c r="S161" s="12"/>
      <c r="T161" s="12"/>
      <c r="U161" s="83">
        <f>SUM(CoreValuesResults[[#This Row],[Discovery (IP)]:[Fun (RD)]],CoreValuesResults[[#This Row],[Gracious Professionalism Score]])</f>
        <v>0</v>
      </c>
      <c r="V161" s="43">
        <f>IF(CoreValuesResults[[#This Row],[Team Number]]&gt;0,MIN(_xlfn.RANK.EQ(CoreValuesResults[[#This Row],[Core Values Score]],CoreValuesResults[Core Values Score],0),NumberOfTeams),NumberOfTeams+1)</f>
        <v>1</v>
      </c>
      <c r="W161" s="82"/>
      <c r="X161" s="82"/>
      <c r="Y161" s="82"/>
    </row>
    <row r="162" spans="1:25" ht="30" customHeight="1" x14ac:dyDescent="0.45">
      <c r="A162" s="12">
        <f>_xlfn.XLOOKUP(161,OfficialTeamList[Row],OfficialTeamList[Team Number],"ERROR",0)</f>
        <v>0</v>
      </c>
      <c r="B162" s="42" t="str">
        <f>_xlfn.XLOOKUP(CoreValuesResults[[#This Row],[Team Number]],OfficialTeamList[Team Number],OfficialTeamList[Team Name],"",0,)</f>
        <v/>
      </c>
      <c r="C162" s="87">
        <f>_xlfn.XLOOKUP(CoreValuesResults[[#This Row],[Team Number]],InnovationProjectResults[Team Number],InnovationProjectResults[Identify - Research (CV)])</f>
        <v>0</v>
      </c>
      <c r="D162" s="87">
        <f>_xlfn.XLOOKUP(CoreValuesResults[[#This Row],[Team Number]],InnovationProjectResults[Team Number],InnovationProjectResults[Design - Teamwork (CV)])</f>
        <v>0</v>
      </c>
      <c r="E162" s="87">
        <f>_xlfn.XLOOKUP(CoreValuesResults[[#This Row],[Team Number]],InnovationProjectResults[Team Number],InnovationProjectResults[Create - Innovation (CV)])</f>
        <v>0</v>
      </c>
      <c r="F162" s="87">
        <f>_xlfn.XLOOKUP(CoreValuesResults[[#This Row],[Team Number]],InnovationProjectResults[Team Number],InnovationProjectResults[Communicate - Impact (CV)])</f>
        <v>0</v>
      </c>
      <c r="G162" s="87">
        <f>_xlfn.XLOOKUP(CoreValuesResults[[#This Row],[Team Number]],InnovationProjectResults[Team Number],InnovationProjectResults[Communicate - Fun (CV)])</f>
        <v>0</v>
      </c>
      <c r="H162" s="87">
        <f>_xlfn.XLOOKUP(CoreValuesResults[[#This Row],[Team Number]],RobotDesignResults[Team Number],RobotDesignResults[Identify - Research (CV)])</f>
        <v>0</v>
      </c>
      <c r="I162" s="87">
        <f>_xlfn.XLOOKUP(CoreValuesResults[[#This Row],[Team Number]],RobotDesignResults[Team Number],RobotDesignResults[Design - Ideas (CV)])</f>
        <v>0</v>
      </c>
      <c r="J162" s="87">
        <f>_xlfn.XLOOKUP(CoreValuesResults[[#This Row],[Team Number]],RobotDesignResults[Team Number],RobotDesignResults[Iterate - Improvements (CV)])</f>
        <v>0</v>
      </c>
      <c r="K162" s="87">
        <f>_xlfn.XLOOKUP(CoreValuesResults[[#This Row],[Team Number]],RobotDesignResults[Team Number],RobotDesignResults[Communicate - Impact (CV)])</f>
        <v>0</v>
      </c>
      <c r="L162" s="87">
        <f>_xlfn.XLOOKUP(CoreValuesResults[[#This Row],[Team Number]],RobotDesignResults[Team Number],RobotDesignResults[Communicate - Fun (CV)])</f>
        <v>0</v>
      </c>
      <c r="M162" s="17"/>
      <c r="N162" s="17"/>
      <c r="O162" s="17"/>
      <c r="P162" s="17"/>
      <c r="Q162" s="17"/>
      <c r="R162" s="12" t="str">
        <f>IF(CoreValuesResults[[#This Row],[Gracious Professionalism 1]]="","",COUNTIF(CoreValuesResults[[#This Row],[Gracious Professionalism 1]:[Gracious Professionalism 5]],""))</f>
        <v/>
      </c>
      <c r="S162" s="12" t="str">
        <f>IF(CoreValuesResults[[#This Row],[Gracious Professionalism 1]]="","",SUM(CoreValuesResults[[#This Row],[Gracious Professionalism 1]:[Gracious Professionalism 5]]))</f>
        <v/>
      </c>
      <c r="T162"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162" s="83">
        <f>SUM(CoreValuesResults[[#This Row],[Discovery (IP)]:[Fun (RD)]],CoreValuesResults[[#This Row],[Gracious Professionalism Score]])</f>
        <v>0</v>
      </c>
      <c r="V162" s="43">
        <f>IF(CoreValuesResults[[#This Row],[Team Number]]&gt;0,MIN(_xlfn.RANK.EQ(CoreValuesResults[[#This Row],[Core Values Score]],CoreValuesResults[Core Values Score],0),NumberOfTeams),NumberOfTeams+1)</f>
        <v>1</v>
      </c>
      <c r="W162" s="82"/>
      <c r="X162" s="82"/>
      <c r="Y162" s="82"/>
    </row>
    <row r="163" spans="1:25" ht="30" customHeight="1" x14ac:dyDescent="0.45">
      <c r="A163" s="12">
        <f>_xlfn.XLOOKUP(162,OfficialTeamList[Row],OfficialTeamList[Team Number],"ERROR",0)</f>
        <v>0</v>
      </c>
      <c r="B163" s="42" t="str">
        <f>_xlfn.XLOOKUP(CoreValuesResults[[#This Row],[Team Number]],OfficialTeamList[Team Number],OfficialTeamList[Team Name],"",0,)</f>
        <v/>
      </c>
      <c r="C163" s="87">
        <f>_xlfn.XLOOKUP(CoreValuesResults[[#This Row],[Team Number]],InnovationProjectResults[Team Number],InnovationProjectResults[Identify - Research (CV)])</f>
        <v>0</v>
      </c>
      <c r="D163" s="87">
        <f>_xlfn.XLOOKUP(CoreValuesResults[[#This Row],[Team Number]],InnovationProjectResults[Team Number],InnovationProjectResults[Design - Teamwork (CV)])</f>
        <v>0</v>
      </c>
      <c r="E163" s="87">
        <f>_xlfn.XLOOKUP(CoreValuesResults[[#This Row],[Team Number]],InnovationProjectResults[Team Number],InnovationProjectResults[Create - Innovation (CV)])</f>
        <v>0</v>
      </c>
      <c r="F163" s="87">
        <f>_xlfn.XLOOKUP(CoreValuesResults[[#This Row],[Team Number]],InnovationProjectResults[Team Number],InnovationProjectResults[Communicate - Impact (CV)])</f>
        <v>0</v>
      </c>
      <c r="G163" s="87">
        <f>_xlfn.XLOOKUP(CoreValuesResults[[#This Row],[Team Number]],InnovationProjectResults[Team Number],InnovationProjectResults[Communicate - Fun (CV)])</f>
        <v>0</v>
      </c>
      <c r="H163" s="87">
        <f>_xlfn.XLOOKUP(CoreValuesResults[[#This Row],[Team Number]],RobotDesignResults[Team Number],RobotDesignResults[Identify - Research (CV)])</f>
        <v>0</v>
      </c>
      <c r="I163" s="87">
        <f>_xlfn.XLOOKUP(CoreValuesResults[[#This Row],[Team Number]],RobotDesignResults[Team Number],RobotDesignResults[Design - Ideas (CV)])</f>
        <v>0</v>
      </c>
      <c r="J163" s="87">
        <f>_xlfn.XLOOKUP(CoreValuesResults[[#This Row],[Team Number]],RobotDesignResults[Team Number],RobotDesignResults[Iterate - Improvements (CV)])</f>
        <v>0</v>
      </c>
      <c r="K163" s="87">
        <f>_xlfn.XLOOKUP(CoreValuesResults[[#This Row],[Team Number]],RobotDesignResults[Team Number],RobotDesignResults[Communicate - Impact (CV)])</f>
        <v>0</v>
      </c>
      <c r="L163" s="87">
        <f>_xlfn.XLOOKUP(CoreValuesResults[[#This Row],[Team Number]],RobotDesignResults[Team Number],RobotDesignResults[Communicate - Fun (CV)])</f>
        <v>0</v>
      </c>
      <c r="M163" s="17"/>
      <c r="N163" s="17"/>
      <c r="O163" s="17"/>
      <c r="P163" s="17"/>
      <c r="Q163" s="17"/>
      <c r="R163" s="12" t="str">
        <f>IF(CoreValuesResults[[#This Row],[Gracious Professionalism 1]]="","",COUNTIF(CoreValuesResults[[#This Row],[Gracious Professionalism 1]:[Gracious Professionalism 5]],""))</f>
        <v/>
      </c>
      <c r="S163" s="12" t="str">
        <f>IF(CoreValuesResults[[#This Row],[Gracious Professionalism 1]]="","",SUM(CoreValuesResults[[#This Row],[Gracious Professionalism 1]:[Gracious Professionalism 5]]))</f>
        <v/>
      </c>
      <c r="T163"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163" s="83">
        <f>SUM(CoreValuesResults[[#This Row],[Discovery (IP)]:[Fun (RD)]],CoreValuesResults[[#This Row],[Gracious Professionalism Score]])</f>
        <v>0</v>
      </c>
      <c r="V163" s="43">
        <f>IF(CoreValuesResults[[#This Row],[Team Number]]&gt;0,MIN(_xlfn.RANK.EQ(CoreValuesResults[[#This Row],[Core Values Score]],CoreValuesResults[Core Values Score],0),NumberOfTeams),NumberOfTeams+1)</f>
        <v>1</v>
      </c>
      <c r="W163" s="82"/>
      <c r="X163" s="82"/>
      <c r="Y163" s="82"/>
    </row>
    <row r="164" spans="1:25" ht="30" customHeight="1" x14ac:dyDescent="0.45">
      <c r="A164" s="12">
        <f>_xlfn.XLOOKUP(163,OfficialTeamList[Row],OfficialTeamList[Team Number],"ERROR",0)</f>
        <v>0</v>
      </c>
      <c r="B164" s="42" t="str">
        <f>_xlfn.XLOOKUP(CoreValuesResults[[#This Row],[Team Number]],OfficialTeamList[Team Number],OfficialTeamList[Team Name],"",0,)</f>
        <v/>
      </c>
      <c r="C164" s="87">
        <f>_xlfn.XLOOKUP(CoreValuesResults[[#This Row],[Team Number]],InnovationProjectResults[Team Number],InnovationProjectResults[Identify - Research (CV)])</f>
        <v>0</v>
      </c>
      <c r="D164" s="87">
        <f>_xlfn.XLOOKUP(CoreValuesResults[[#This Row],[Team Number]],InnovationProjectResults[Team Number],InnovationProjectResults[Design - Teamwork (CV)])</f>
        <v>0</v>
      </c>
      <c r="E164" s="87">
        <f>_xlfn.XLOOKUP(CoreValuesResults[[#This Row],[Team Number]],InnovationProjectResults[Team Number],InnovationProjectResults[Create - Innovation (CV)])</f>
        <v>0</v>
      </c>
      <c r="F164" s="87">
        <f>_xlfn.XLOOKUP(CoreValuesResults[[#This Row],[Team Number]],InnovationProjectResults[Team Number],InnovationProjectResults[Communicate - Impact (CV)])</f>
        <v>0</v>
      </c>
      <c r="G164" s="87">
        <f>_xlfn.XLOOKUP(CoreValuesResults[[#This Row],[Team Number]],InnovationProjectResults[Team Number],InnovationProjectResults[Communicate - Fun (CV)])</f>
        <v>0</v>
      </c>
      <c r="H164" s="87">
        <f>_xlfn.XLOOKUP(CoreValuesResults[[#This Row],[Team Number]],RobotDesignResults[Team Number],RobotDesignResults[Identify - Research (CV)])</f>
        <v>0</v>
      </c>
      <c r="I164" s="87">
        <f>_xlfn.XLOOKUP(CoreValuesResults[[#This Row],[Team Number]],RobotDesignResults[Team Number],RobotDesignResults[Design - Ideas (CV)])</f>
        <v>0</v>
      </c>
      <c r="J164" s="87">
        <f>_xlfn.XLOOKUP(CoreValuesResults[[#This Row],[Team Number]],RobotDesignResults[Team Number],RobotDesignResults[Iterate - Improvements (CV)])</f>
        <v>0</v>
      </c>
      <c r="K164" s="87">
        <f>_xlfn.XLOOKUP(CoreValuesResults[[#This Row],[Team Number]],RobotDesignResults[Team Number],RobotDesignResults[Communicate - Impact (CV)])</f>
        <v>0</v>
      </c>
      <c r="L164" s="87">
        <f>_xlfn.XLOOKUP(CoreValuesResults[[#This Row],[Team Number]],RobotDesignResults[Team Number],RobotDesignResults[Communicate - Fun (CV)])</f>
        <v>0</v>
      </c>
      <c r="M164" s="17"/>
      <c r="N164" s="17"/>
      <c r="O164" s="17"/>
      <c r="P164" s="17"/>
      <c r="Q164" s="17"/>
      <c r="R164" s="12" t="str">
        <f>IF(CoreValuesResults[[#This Row],[Gracious Professionalism 1]]="","",COUNTIF(CoreValuesResults[[#This Row],[Gracious Professionalism 1]:[Gracious Professionalism 5]],""))</f>
        <v/>
      </c>
      <c r="S164" s="12" t="str">
        <f>IF(CoreValuesResults[[#This Row],[Gracious Professionalism 1]]="","",SUM(CoreValuesResults[[#This Row],[Gracious Professionalism 1]:[Gracious Professionalism 5]]))</f>
        <v/>
      </c>
      <c r="T164"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164" s="83">
        <f>SUM(CoreValuesResults[[#This Row],[Discovery (IP)]:[Fun (RD)]],CoreValuesResults[[#This Row],[Gracious Professionalism Score]])</f>
        <v>0</v>
      </c>
      <c r="V164" s="43">
        <f>IF(CoreValuesResults[[#This Row],[Team Number]]&gt;0,MIN(_xlfn.RANK.EQ(CoreValuesResults[[#This Row],[Core Values Score]],CoreValuesResults[Core Values Score],0),NumberOfTeams),NumberOfTeams+1)</f>
        <v>1</v>
      </c>
      <c r="W164" s="82"/>
      <c r="X164" s="82"/>
      <c r="Y164" s="82"/>
    </row>
    <row r="165" spans="1:25" ht="30" customHeight="1" x14ac:dyDescent="0.45">
      <c r="A165" s="12">
        <f>_xlfn.XLOOKUP(164,OfficialTeamList[Row],OfficialTeamList[Team Number],"ERROR",0)</f>
        <v>0</v>
      </c>
      <c r="B165" s="42" t="str">
        <f>_xlfn.XLOOKUP(CoreValuesResults[[#This Row],[Team Number]],OfficialTeamList[Team Number],OfficialTeamList[Team Name],"",0,)</f>
        <v/>
      </c>
      <c r="C165" s="87">
        <f>_xlfn.XLOOKUP(CoreValuesResults[[#This Row],[Team Number]],InnovationProjectResults[Team Number],InnovationProjectResults[Identify - Research (CV)])</f>
        <v>0</v>
      </c>
      <c r="D165" s="87">
        <f>_xlfn.XLOOKUP(CoreValuesResults[[#This Row],[Team Number]],InnovationProjectResults[Team Number],InnovationProjectResults[Design - Teamwork (CV)])</f>
        <v>0</v>
      </c>
      <c r="E165" s="87">
        <f>_xlfn.XLOOKUP(CoreValuesResults[[#This Row],[Team Number]],InnovationProjectResults[Team Number],InnovationProjectResults[Create - Innovation (CV)])</f>
        <v>0</v>
      </c>
      <c r="F165" s="87">
        <f>_xlfn.XLOOKUP(CoreValuesResults[[#This Row],[Team Number]],InnovationProjectResults[Team Number],InnovationProjectResults[Communicate - Impact (CV)])</f>
        <v>0</v>
      </c>
      <c r="G165" s="87">
        <f>_xlfn.XLOOKUP(CoreValuesResults[[#This Row],[Team Number]],InnovationProjectResults[Team Number],InnovationProjectResults[Communicate - Fun (CV)])</f>
        <v>0</v>
      </c>
      <c r="H165" s="87">
        <f>_xlfn.XLOOKUP(CoreValuesResults[[#This Row],[Team Number]],RobotDesignResults[Team Number],RobotDesignResults[Identify - Research (CV)])</f>
        <v>0</v>
      </c>
      <c r="I165" s="87">
        <f>_xlfn.XLOOKUP(CoreValuesResults[[#This Row],[Team Number]],RobotDesignResults[Team Number],RobotDesignResults[Design - Ideas (CV)])</f>
        <v>0</v>
      </c>
      <c r="J165" s="87">
        <f>_xlfn.XLOOKUP(CoreValuesResults[[#This Row],[Team Number]],RobotDesignResults[Team Number],RobotDesignResults[Iterate - Improvements (CV)])</f>
        <v>0</v>
      </c>
      <c r="K165" s="87">
        <f>_xlfn.XLOOKUP(CoreValuesResults[[#This Row],[Team Number]],RobotDesignResults[Team Number],RobotDesignResults[Communicate - Impact (CV)])</f>
        <v>0</v>
      </c>
      <c r="L165" s="87">
        <f>_xlfn.XLOOKUP(CoreValuesResults[[#This Row],[Team Number]],RobotDesignResults[Team Number],RobotDesignResults[Communicate - Fun (CV)])</f>
        <v>0</v>
      </c>
      <c r="M165" s="17"/>
      <c r="N165" s="17"/>
      <c r="O165" s="17"/>
      <c r="P165" s="17"/>
      <c r="Q165" s="17"/>
      <c r="R165" s="12" t="str">
        <f>IF(CoreValuesResults[[#This Row],[Gracious Professionalism 1]]="","",COUNTIF(CoreValuesResults[[#This Row],[Gracious Professionalism 1]:[Gracious Professionalism 5]],""))</f>
        <v/>
      </c>
      <c r="S165" s="12" t="str">
        <f>IF(CoreValuesResults[[#This Row],[Gracious Professionalism 1]]="","",SUM(CoreValuesResults[[#This Row],[Gracious Professionalism 1]:[Gracious Professionalism 5]]))</f>
        <v/>
      </c>
      <c r="T165"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165" s="83">
        <f>SUM(CoreValuesResults[[#This Row],[Discovery (IP)]:[Fun (RD)]],CoreValuesResults[[#This Row],[Gracious Professionalism Score]])</f>
        <v>0</v>
      </c>
      <c r="V165" s="43">
        <f>IF(CoreValuesResults[[#This Row],[Team Number]]&gt;0,MIN(_xlfn.RANK.EQ(CoreValuesResults[[#This Row],[Core Values Score]],CoreValuesResults[Core Values Score],0),NumberOfTeams),NumberOfTeams+1)</f>
        <v>1</v>
      </c>
      <c r="W165" s="82"/>
      <c r="X165" s="82"/>
      <c r="Y165" s="82"/>
    </row>
    <row r="166" spans="1:25" ht="30" customHeight="1" x14ac:dyDescent="0.45">
      <c r="A166" s="12">
        <f>_xlfn.XLOOKUP(165,OfficialTeamList[Row],OfficialTeamList[Team Number],"ERROR",0)</f>
        <v>0</v>
      </c>
      <c r="B166" s="42" t="str">
        <f>_xlfn.XLOOKUP(CoreValuesResults[[#This Row],[Team Number]],OfficialTeamList[Team Number],OfficialTeamList[Team Name],"",0,)</f>
        <v/>
      </c>
      <c r="C166" s="87">
        <f>_xlfn.XLOOKUP(CoreValuesResults[[#This Row],[Team Number]],InnovationProjectResults[Team Number],InnovationProjectResults[Identify - Research (CV)])</f>
        <v>0</v>
      </c>
      <c r="D166" s="87">
        <f>_xlfn.XLOOKUP(CoreValuesResults[[#This Row],[Team Number]],InnovationProjectResults[Team Number],InnovationProjectResults[Design - Teamwork (CV)])</f>
        <v>0</v>
      </c>
      <c r="E166" s="87">
        <f>_xlfn.XLOOKUP(CoreValuesResults[[#This Row],[Team Number]],InnovationProjectResults[Team Number],InnovationProjectResults[Create - Innovation (CV)])</f>
        <v>0</v>
      </c>
      <c r="F166" s="87">
        <f>_xlfn.XLOOKUP(CoreValuesResults[[#This Row],[Team Number]],InnovationProjectResults[Team Number],InnovationProjectResults[Communicate - Impact (CV)])</f>
        <v>0</v>
      </c>
      <c r="G166" s="87">
        <f>_xlfn.XLOOKUP(CoreValuesResults[[#This Row],[Team Number]],InnovationProjectResults[Team Number],InnovationProjectResults[Communicate - Fun (CV)])</f>
        <v>0</v>
      </c>
      <c r="H166" s="87">
        <f>_xlfn.XLOOKUP(CoreValuesResults[[#This Row],[Team Number]],RobotDesignResults[Team Number],RobotDesignResults[Identify - Research (CV)])</f>
        <v>0</v>
      </c>
      <c r="I166" s="87">
        <f>_xlfn.XLOOKUP(CoreValuesResults[[#This Row],[Team Number]],RobotDesignResults[Team Number],RobotDesignResults[Design - Ideas (CV)])</f>
        <v>0</v>
      </c>
      <c r="J166" s="87">
        <f>_xlfn.XLOOKUP(CoreValuesResults[[#This Row],[Team Number]],RobotDesignResults[Team Number],RobotDesignResults[Iterate - Improvements (CV)])</f>
        <v>0</v>
      </c>
      <c r="K166" s="87">
        <f>_xlfn.XLOOKUP(CoreValuesResults[[#This Row],[Team Number]],RobotDesignResults[Team Number],RobotDesignResults[Communicate - Impact (CV)])</f>
        <v>0</v>
      </c>
      <c r="L166" s="87">
        <f>_xlfn.XLOOKUP(CoreValuesResults[[#This Row],[Team Number]],RobotDesignResults[Team Number],RobotDesignResults[Communicate - Fun (CV)])</f>
        <v>0</v>
      </c>
      <c r="M166" s="17"/>
      <c r="N166" s="17"/>
      <c r="O166" s="17"/>
      <c r="P166" s="17"/>
      <c r="Q166" s="17"/>
      <c r="R166" s="12" t="str">
        <f>IF(CoreValuesResults[[#This Row],[Gracious Professionalism 1]]="","",COUNTIF(CoreValuesResults[[#This Row],[Gracious Professionalism 1]:[Gracious Professionalism 5]],""))</f>
        <v/>
      </c>
      <c r="S166" s="12" t="str">
        <f>IF(CoreValuesResults[[#This Row],[Gracious Professionalism 1]]="","",SUM(CoreValuesResults[[#This Row],[Gracious Professionalism 1]:[Gracious Professionalism 5]]))</f>
        <v/>
      </c>
      <c r="T166"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166" s="83">
        <f>SUM(CoreValuesResults[[#This Row],[Discovery (IP)]:[Fun (RD)]],CoreValuesResults[[#This Row],[Gracious Professionalism Score]])</f>
        <v>0</v>
      </c>
      <c r="V166" s="43">
        <f>IF(CoreValuesResults[[#This Row],[Team Number]]&gt;0,MIN(_xlfn.RANK.EQ(CoreValuesResults[[#This Row],[Core Values Score]],CoreValuesResults[Core Values Score],0),NumberOfTeams),NumberOfTeams+1)</f>
        <v>1</v>
      </c>
      <c r="W166" s="82"/>
      <c r="X166" s="82"/>
      <c r="Y166" s="82"/>
    </row>
    <row r="167" spans="1:25" ht="30" customHeight="1" x14ac:dyDescent="0.45">
      <c r="A167" s="12">
        <f>_xlfn.XLOOKUP(166,OfficialTeamList[Row],OfficialTeamList[Team Number],"ERROR",0)</f>
        <v>0</v>
      </c>
      <c r="B167" s="42" t="str">
        <f>_xlfn.XLOOKUP(CoreValuesResults[[#This Row],[Team Number]],OfficialTeamList[Team Number],OfficialTeamList[Team Name],"",0,)</f>
        <v/>
      </c>
      <c r="C167" s="87">
        <f>_xlfn.XLOOKUP(CoreValuesResults[[#This Row],[Team Number]],InnovationProjectResults[Team Number],InnovationProjectResults[Identify - Research (CV)])</f>
        <v>0</v>
      </c>
      <c r="D167" s="87">
        <f>_xlfn.XLOOKUP(CoreValuesResults[[#This Row],[Team Number]],InnovationProjectResults[Team Number],InnovationProjectResults[Design - Teamwork (CV)])</f>
        <v>0</v>
      </c>
      <c r="E167" s="87">
        <f>_xlfn.XLOOKUP(CoreValuesResults[[#This Row],[Team Number]],InnovationProjectResults[Team Number],InnovationProjectResults[Create - Innovation (CV)])</f>
        <v>0</v>
      </c>
      <c r="F167" s="87">
        <f>_xlfn.XLOOKUP(CoreValuesResults[[#This Row],[Team Number]],InnovationProjectResults[Team Number],InnovationProjectResults[Communicate - Impact (CV)])</f>
        <v>0</v>
      </c>
      <c r="G167" s="87">
        <f>_xlfn.XLOOKUP(CoreValuesResults[[#This Row],[Team Number]],InnovationProjectResults[Team Number],InnovationProjectResults[Communicate - Fun (CV)])</f>
        <v>0</v>
      </c>
      <c r="H167" s="87">
        <f>_xlfn.XLOOKUP(CoreValuesResults[[#This Row],[Team Number]],RobotDesignResults[Team Number],RobotDesignResults[Identify - Research (CV)])</f>
        <v>0</v>
      </c>
      <c r="I167" s="87">
        <f>_xlfn.XLOOKUP(CoreValuesResults[[#This Row],[Team Number]],RobotDesignResults[Team Number],RobotDesignResults[Design - Ideas (CV)])</f>
        <v>0</v>
      </c>
      <c r="J167" s="87">
        <f>_xlfn.XLOOKUP(CoreValuesResults[[#This Row],[Team Number]],RobotDesignResults[Team Number],RobotDesignResults[Iterate - Improvements (CV)])</f>
        <v>0</v>
      </c>
      <c r="K167" s="87">
        <f>_xlfn.XLOOKUP(CoreValuesResults[[#This Row],[Team Number]],RobotDesignResults[Team Number],RobotDesignResults[Communicate - Impact (CV)])</f>
        <v>0</v>
      </c>
      <c r="L167" s="87">
        <f>_xlfn.XLOOKUP(CoreValuesResults[[#This Row],[Team Number]],RobotDesignResults[Team Number],RobotDesignResults[Communicate - Fun (CV)])</f>
        <v>0</v>
      </c>
      <c r="M167" s="17"/>
      <c r="N167" s="17"/>
      <c r="O167" s="17"/>
      <c r="P167" s="17"/>
      <c r="Q167" s="17"/>
      <c r="R167" s="12" t="str">
        <f>IF(CoreValuesResults[[#This Row],[Gracious Professionalism 1]]="","",COUNTIF(CoreValuesResults[[#This Row],[Gracious Professionalism 1]:[Gracious Professionalism 5]],""))</f>
        <v/>
      </c>
      <c r="S167" s="12" t="str">
        <f>IF(CoreValuesResults[[#This Row],[Gracious Professionalism 1]]="","",SUM(CoreValuesResults[[#This Row],[Gracious Professionalism 1]:[Gracious Professionalism 5]]))</f>
        <v/>
      </c>
      <c r="T167"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167" s="83">
        <f>SUM(CoreValuesResults[[#This Row],[Discovery (IP)]:[Fun (RD)]],CoreValuesResults[[#This Row],[Gracious Professionalism Score]])</f>
        <v>0</v>
      </c>
      <c r="V167" s="43">
        <f>IF(CoreValuesResults[[#This Row],[Team Number]]&gt;0,MIN(_xlfn.RANK.EQ(CoreValuesResults[[#This Row],[Core Values Score]],CoreValuesResults[Core Values Score],0),NumberOfTeams),NumberOfTeams+1)</f>
        <v>1</v>
      </c>
      <c r="W167" s="82"/>
      <c r="X167" s="82"/>
      <c r="Y167" s="82"/>
    </row>
    <row r="168" spans="1:25" ht="30" customHeight="1" x14ac:dyDescent="0.45">
      <c r="A168" s="12">
        <f>_xlfn.XLOOKUP(167,OfficialTeamList[Row],OfficialTeamList[Team Number],"ERROR",0)</f>
        <v>0</v>
      </c>
      <c r="B168" s="42" t="str">
        <f>_xlfn.XLOOKUP(CoreValuesResults[[#This Row],[Team Number]],OfficialTeamList[Team Number],OfficialTeamList[Team Name],"",0,)</f>
        <v/>
      </c>
      <c r="C168" s="87">
        <f>_xlfn.XLOOKUP(CoreValuesResults[[#This Row],[Team Number]],InnovationProjectResults[Team Number],InnovationProjectResults[Identify - Research (CV)])</f>
        <v>0</v>
      </c>
      <c r="D168" s="87">
        <f>_xlfn.XLOOKUP(CoreValuesResults[[#This Row],[Team Number]],InnovationProjectResults[Team Number],InnovationProjectResults[Design - Teamwork (CV)])</f>
        <v>0</v>
      </c>
      <c r="E168" s="87">
        <f>_xlfn.XLOOKUP(CoreValuesResults[[#This Row],[Team Number]],InnovationProjectResults[Team Number],InnovationProjectResults[Create - Innovation (CV)])</f>
        <v>0</v>
      </c>
      <c r="F168" s="87">
        <f>_xlfn.XLOOKUP(CoreValuesResults[[#This Row],[Team Number]],InnovationProjectResults[Team Number],InnovationProjectResults[Communicate - Impact (CV)])</f>
        <v>0</v>
      </c>
      <c r="G168" s="87">
        <f>_xlfn.XLOOKUP(CoreValuesResults[[#This Row],[Team Number]],InnovationProjectResults[Team Number],InnovationProjectResults[Communicate - Fun (CV)])</f>
        <v>0</v>
      </c>
      <c r="H168" s="87">
        <f>_xlfn.XLOOKUP(CoreValuesResults[[#This Row],[Team Number]],RobotDesignResults[Team Number],RobotDesignResults[Identify - Research (CV)])</f>
        <v>0</v>
      </c>
      <c r="I168" s="87">
        <f>_xlfn.XLOOKUP(CoreValuesResults[[#This Row],[Team Number]],RobotDesignResults[Team Number],RobotDesignResults[Design - Ideas (CV)])</f>
        <v>0</v>
      </c>
      <c r="J168" s="87">
        <f>_xlfn.XLOOKUP(CoreValuesResults[[#This Row],[Team Number]],RobotDesignResults[Team Number],RobotDesignResults[Iterate - Improvements (CV)])</f>
        <v>0</v>
      </c>
      <c r="K168" s="87">
        <f>_xlfn.XLOOKUP(CoreValuesResults[[#This Row],[Team Number]],RobotDesignResults[Team Number],RobotDesignResults[Communicate - Impact (CV)])</f>
        <v>0</v>
      </c>
      <c r="L168" s="87">
        <f>_xlfn.XLOOKUP(CoreValuesResults[[#This Row],[Team Number]],RobotDesignResults[Team Number],RobotDesignResults[Communicate - Fun (CV)])</f>
        <v>0</v>
      </c>
      <c r="M168" s="17"/>
      <c r="N168" s="17"/>
      <c r="O168" s="17"/>
      <c r="P168" s="17"/>
      <c r="Q168" s="17"/>
      <c r="R168" s="12" t="str">
        <f>IF(CoreValuesResults[[#This Row],[Gracious Professionalism 1]]="","",COUNTIF(CoreValuesResults[[#This Row],[Gracious Professionalism 1]:[Gracious Professionalism 5]],""))</f>
        <v/>
      </c>
      <c r="S168" s="12" t="str">
        <f>IF(CoreValuesResults[[#This Row],[Gracious Professionalism 1]]="","",SUM(CoreValuesResults[[#This Row],[Gracious Professionalism 1]:[Gracious Professionalism 5]]))</f>
        <v/>
      </c>
      <c r="T168"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168" s="83">
        <f>SUM(CoreValuesResults[[#This Row],[Discovery (IP)]:[Fun (RD)]],CoreValuesResults[[#This Row],[Gracious Professionalism Score]])</f>
        <v>0</v>
      </c>
      <c r="V168" s="43">
        <f>IF(CoreValuesResults[[#This Row],[Team Number]]&gt;0,MIN(_xlfn.RANK.EQ(CoreValuesResults[[#This Row],[Core Values Score]],CoreValuesResults[Core Values Score],0),NumberOfTeams),NumberOfTeams+1)</f>
        <v>1</v>
      </c>
      <c r="W168" s="82"/>
      <c r="X168" s="82"/>
      <c r="Y168" s="82"/>
    </row>
    <row r="169" spans="1:25" ht="30" customHeight="1" x14ac:dyDescent="0.45">
      <c r="A169" s="12">
        <f>_xlfn.XLOOKUP(168,OfficialTeamList[Row],OfficialTeamList[Team Number],"ERROR",0)</f>
        <v>0</v>
      </c>
      <c r="B169" s="42" t="str">
        <f>_xlfn.XLOOKUP(CoreValuesResults[[#This Row],[Team Number]],OfficialTeamList[Team Number],OfficialTeamList[Team Name],"",0,)</f>
        <v/>
      </c>
      <c r="C169" s="87">
        <f>_xlfn.XLOOKUP(CoreValuesResults[[#This Row],[Team Number]],InnovationProjectResults[Team Number],InnovationProjectResults[Identify - Research (CV)])</f>
        <v>0</v>
      </c>
      <c r="D169" s="87">
        <f>_xlfn.XLOOKUP(CoreValuesResults[[#This Row],[Team Number]],InnovationProjectResults[Team Number],InnovationProjectResults[Design - Teamwork (CV)])</f>
        <v>0</v>
      </c>
      <c r="E169" s="87">
        <f>_xlfn.XLOOKUP(CoreValuesResults[[#This Row],[Team Number]],InnovationProjectResults[Team Number],InnovationProjectResults[Create - Innovation (CV)])</f>
        <v>0</v>
      </c>
      <c r="F169" s="87">
        <f>_xlfn.XLOOKUP(CoreValuesResults[[#This Row],[Team Number]],InnovationProjectResults[Team Number],InnovationProjectResults[Communicate - Impact (CV)])</f>
        <v>0</v>
      </c>
      <c r="G169" s="87">
        <f>_xlfn.XLOOKUP(CoreValuesResults[[#This Row],[Team Number]],InnovationProjectResults[Team Number],InnovationProjectResults[Communicate - Fun (CV)])</f>
        <v>0</v>
      </c>
      <c r="H169" s="87">
        <f>_xlfn.XLOOKUP(CoreValuesResults[[#This Row],[Team Number]],RobotDesignResults[Team Number],RobotDesignResults[Identify - Research (CV)])</f>
        <v>0</v>
      </c>
      <c r="I169" s="87">
        <f>_xlfn.XLOOKUP(CoreValuesResults[[#This Row],[Team Number]],RobotDesignResults[Team Number],RobotDesignResults[Design - Ideas (CV)])</f>
        <v>0</v>
      </c>
      <c r="J169" s="87">
        <f>_xlfn.XLOOKUP(CoreValuesResults[[#This Row],[Team Number]],RobotDesignResults[Team Number],RobotDesignResults[Iterate - Improvements (CV)])</f>
        <v>0</v>
      </c>
      <c r="K169" s="87">
        <f>_xlfn.XLOOKUP(CoreValuesResults[[#This Row],[Team Number]],RobotDesignResults[Team Number],RobotDesignResults[Communicate - Impact (CV)])</f>
        <v>0</v>
      </c>
      <c r="L169" s="87">
        <f>_xlfn.XLOOKUP(CoreValuesResults[[#This Row],[Team Number]],RobotDesignResults[Team Number],RobotDesignResults[Communicate - Fun (CV)])</f>
        <v>0</v>
      </c>
      <c r="M169" s="17"/>
      <c r="N169" s="17"/>
      <c r="O169" s="17"/>
      <c r="P169" s="17"/>
      <c r="Q169" s="17"/>
      <c r="R169" s="12" t="str">
        <f>IF(CoreValuesResults[[#This Row],[Gracious Professionalism 1]]="","",COUNTIF(CoreValuesResults[[#This Row],[Gracious Professionalism 1]:[Gracious Professionalism 5]],""))</f>
        <v/>
      </c>
      <c r="S169" s="12" t="str">
        <f>IF(CoreValuesResults[[#This Row],[Gracious Professionalism 1]]="","",SUM(CoreValuesResults[[#This Row],[Gracious Professionalism 1]:[Gracious Professionalism 5]]))</f>
        <v/>
      </c>
      <c r="T169"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169" s="83">
        <f>SUM(CoreValuesResults[[#This Row],[Discovery (IP)]:[Fun (RD)]],CoreValuesResults[[#This Row],[Gracious Professionalism Score]])</f>
        <v>0</v>
      </c>
      <c r="V169" s="43">
        <f>IF(CoreValuesResults[[#This Row],[Team Number]]&gt;0,MIN(_xlfn.RANK.EQ(CoreValuesResults[[#This Row],[Core Values Score]],CoreValuesResults[Core Values Score],0),NumberOfTeams),NumberOfTeams+1)</f>
        <v>1</v>
      </c>
      <c r="W169" s="82"/>
      <c r="X169" s="82"/>
      <c r="Y169" s="82"/>
    </row>
    <row r="170" spans="1:25" ht="30" customHeight="1" x14ac:dyDescent="0.45">
      <c r="A170" s="12">
        <f>_xlfn.XLOOKUP(169,OfficialTeamList[Row],OfficialTeamList[Team Number],"ERROR",0)</f>
        <v>0</v>
      </c>
      <c r="B170" s="42" t="str">
        <f>_xlfn.XLOOKUP(CoreValuesResults[[#This Row],[Team Number]],OfficialTeamList[Team Number],OfficialTeamList[Team Name],"",0,)</f>
        <v/>
      </c>
      <c r="C170" s="87">
        <f>_xlfn.XLOOKUP(CoreValuesResults[[#This Row],[Team Number]],InnovationProjectResults[Team Number],InnovationProjectResults[Identify - Research (CV)])</f>
        <v>0</v>
      </c>
      <c r="D170" s="87">
        <f>_xlfn.XLOOKUP(CoreValuesResults[[#This Row],[Team Number]],InnovationProjectResults[Team Number],InnovationProjectResults[Design - Teamwork (CV)])</f>
        <v>0</v>
      </c>
      <c r="E170" s="87">
        <f>_xlfn.XLOOKUP(CoreValuesResults[[#This Row],[Team Number]],InnovationProjectResults[Team Number],InnovationProjectResults[Create - Innovation (CV)])</f>
        <v>0</v>
      </c>
      <c r="F170" s="87">
        <f>_xlfn.XLOOKUP(CoreValuesResults[[#This Row],[Team Number]],InnovationProjectResults[Team Number],InnovationProjectResults[Communicate - Impact (CV)])</f>
        <v>0</v>
      </c>
      <c r="G170" s="87">
        <f>_xlfn.XLOOKUP(CoreValuesResults[[#This Row],[Team Number]],InnovationProjectResults[Team Number],InnovationProjectResults[Communicate - Fun (CV)])</f>
        <v>0</v>
      </c>
      <c r="H170" s="87">
        <f>_xlfn.XLOOKUP(CoreValuesResults[[#This Row],[Team Number]],RobotDesignResults[Team Number],RobotDesignResults[Identify - Research (CV)])</f>
        <v>0</v>
      </c>
      <c r="I170" s="87">
        <f>_xlfn.XLOOKUP(CoreValuesResults[[#This Row],[Team Number]],RobotDesignResults[Team Number],RobotDesignResults[Design - Ideas (CV)])</f>
        <v>0</v>
      </c>
      <c r="J170" s="87">
        <f>_xlfn.XLOOKUP(CoreValuesResults[[#This Row],[Team Number]],RobotDesignResults[Team Number],RobotDesignResults[Iterate - Improvements (CV)])</f>
        <v>0</v>
      </c>
      <c r="K170" s="87">
        <f>_xlfn.XLOOKUP(CoreValuesResults[[#This Row],[Team Number]],RobotDesignResults[Team Number],RobotDesignResults[Communicate - Impact (CV)])</f>
        <v>0</v>
      </c>
      <c r="L170" s="87">
        <f>_xlfn.XLOOKUP(CoreValuesResults[[#This Row],[Team Number]],RobotDesignResults[Team Number],RobotDesignResults[Communicate - Fun (CV)])</f>
        <v>0</v>
      </c>
      <c r="M170" s="17"/>
      <c r="N170" s="17"/>
      <c r="O170" s="17"/>
      <c r="P170" s="17"/>
      <c r="Q170" s="17"/>
      <c r="R170" s="12" t="str">
        <f>IF(CoreValuesResults[[#This Row],[Gracious Professionalism 1]]="","",COUNTIF(CoreValuesResults[[#This Row],[Gracious Professionalism 1]:[Gracious Professionalism 5]],""))</f>
        <v/>
      </c>
      <c r="S170" s="12" t="str">
        <f>IF(CoreValuesResults[[#This Row],[Gracious Professionalism 1]]="","",SUM(CoreValuesResults[[#This Row],[Gracious Professionalism 1]:[Gracious Professionalism 5]]))</f>
        <v/>
      </c>
      <c r="T170"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170" s="83">
        <f>SUM(CoreValuesResults[[#This Row],[Discovery (IP)]:[Fun (RD)]],CoreValuesResults[[#This Row],[Gracious Professionalism Score]])</f>
        <v>0</v>
      </c>
      <c r="V170" s="43">
        <f>IF(CoreValuesResults[[#This Row],[Team Number]]&gt;0,MIN(_xlfn.RANK.EQ(CoreValuesResults[[#This Row],[Core Values Score]],CoreValuesResults[Core Values Score],0),NumberOfTeams),NumberOfTeams+1)</f>
        <v>1</v>
      </c>
      <c r="W170" s="82"/>
      <c r="X170" s="82"/>
      <c r="Y170" s="82"/>
    </row>
    <row r="171" spans="1:25" ht="30" customHeight="1" x14ac:dyDescent="0.45">
      <c r="A171" s="12">
        <f>_xlfn.XLOOKUP(170,OfficialTeamList[Row],OfficialTeamList[Team Number],"ERROR",0)</f>
        <v>0</v>
      </c>
      <c r="B171" s="42" t="str">
        <f>_xlfn.XLOOKUP(CoreValuesResults[[#This Row],[Team Number]],OfficialTeamList[Team Number],OfficialTeamList[Team Name],"",0,)</f>
        <v/>
      </c>
      <c r="C171" s="87">
        <f>_xlfn.XLOOKUP(CoreValuesResults[[#This Row],[Team Number]],InnovationProjectResults[Team Number],InnovationProjectResults[Identify - Research (CV)])</f>
        <v>0</v>
      </c>
      <c r="D171" s="87">
        <f>_xlfn.XLOOKUP(CoreValuesResults[[#This Row],[Team Number]],InnovationProjectResults[Team Number],InnovationProjectResults[Design - Teamwork (CV)])</f>
        <v>0</v>
      </c>
      <c r="E171" s="87">
        <f>_xlfn.XLOOKUP(CoreValuesResults[[#This Row],[Team Number]],InnovationProjectResults[Team Number],InnovationProjectResults[Create - Innovation (CV)])</f>
        <v>0</v>
      </c>
      <c r="F171" s="87">
        <f>_xlfn.XLOOKUP(CoreValuesResults[[#This Row],[Team Number]],InnovationProjectResults[Team Number],InnovationProjectResults[Communicate - Impact (CV)])</f>
        <v>0</v>
      </c>
      <c r="G171" s="87">
        <f>_xlfn.XLOOKUP(CoreValuesResults[[#This Row],[Team Number]],InnovationProjectResults[Team Number],InnovationProjectResults[Communicate - Fun (CV)])</f>
        <v>0</v>
      </c>
      <c r="H171" s="87">
        <f>_xlfn.XLOOKUP(CoreValuesResults[[#This Row],[Team Number]],RobotDesignResults[Team Number],RobotDesignResults[Identify - Research (CV)])</f>
        <v>0</v>
      </c>
      <c r="I171" s="87">
        <f>_xlfn.XLOOKUP(CoreValuesResults[[#This Row],[Team Number]],RobotDesignResults[Team Number],RobotDesignResults[Design - Ideas (CV)])</f>
        <v>0</v>
      </c>
      <c r="J171" s="87">
        <f>_xlfn.XLOOKUP(CoreValuesResults[[#This Row],[Team Number]],RobotDesignResults[Team Number],RobotDesignResults[Iterate - Improvements (CV)])</f>
        <v>0</v>
      </c>
      <c r="K171" s="87">
        <f>_xlfn.XLOOKUP(CoreValuesResults[[#This Row],[Team Number]],RobotDesignResults[Team Number],RobotDesignResults[Communicate - Impact (CV)])</f>
        <v>0</v>
      </c>
      <c r="L171" s="87">
        <f>_xlfn.XLOOKUP(CoreValuesResults[[#This Row],[Team Number]],RobotDesignResults[Team Number],RobotDesignResults[Communicate - Fun (CV)])</f>
        <v>0</v>
      </c>
      <c r="M171" s="17"/>
      <c r="N171" s="17"/>
      <c r="O171" s="17"/>
      <c r="P171" s="17"/>
      <c r="Q171" s="17"/>
      <c r="R171" s="12" t="str">
        <f>IF(CoreValuesResults[[#This Row],[Gracious Professionalism 1]]="","",COUNTIF(CoreValuesResults[[#This Row],[Gracious Professionalism 1]:[Gracious Professionalism 5]],""))</f>
        <v/>
      </c>
      <c r="S171" s="12" t="str">
        <f>IF(CoreValuesResults[[#This Row],[Gracious Professionalism 1]]="","",SUM(CoreValuesResults[[#This Row],[Gracious Professionalism 1]:[Gracious Professionalism 5]]))</f>
        <v/>
      </c>
      <c r="T171"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171" s="83">
        <f>SUM(CoreValuesResults[[#This Row],[Discovery (IP)]:[Fun (RD)]],CoreValuesResults[[#This Row],[Gracious Professionalism Score]])</f>
        <v>0</v>
      </c>
      <c r="V171" s="43">
        <f>IF(CoreValuesResults[[#This Row],[Team Number]]&gt;0,MIN(_xlfn.RANK.EQ(CoreValuesResults[[#This Row],[Core Values Score]],CoreValuesResults[Core Values Score],0),NumberOfTeams),NumberOfTeams+1)</f>
        <v>1</v>
      </c>
      <c r="W171" s="82"/>
      <c r="X171" s="82"/>
      <c r="Y171" s="82"/>
    </row>
    <row r="172" spans="1:25" ht="30" customHeight="1" x14ac:dyDescent="0.45">
      <c r="A172" s="12">
        <f>_xlfn.XLOOKUP(171,OfficialTeamList[Row],OfficialTeamList[Team Number],"ERROR",0)</f>
        <v>0</v>
      </c>
      <c r="B172" s="42" t="str">
        <f>_xlfn.XLOOKUP(CoreValuesResults[[#This Row],[Team Number]],OfficialTeamList[Team Number],OfficialTeamList[Team Name],"",0,)</f>
        <v/>
      </c>
      <c r="C172" s="87">
        <f>_xlfn.XLOOKUP(CoreValuesResults[[#This Row],[Team Number]],InnovationProjectResults[Team Number],InnovationProjectResults[Identify - Research (CV)])</f>
        <v>0</v>
      </c>
      <c r="D172" s="87">
        <f>_xlfn.XLOOKUP(CoreValuesResults[[#This Row],[Team Number]],InnovationProjectResults[Team Number],InnovationProjectResults[Design - Teamwork (CV)])</f>
        <v>0</v>
      </c>
      <c r="E172" s="87">
        <f>_xlfn.XLOOKUP(CoreValuesResults[[#This Row],[Team Number]],InnovationProjectResults[Team Number],InnovationProjectResults[Create - Innovation (CV)])</f>
        <v>0</v>
      </c>
      <c r="F172" s="87">
        <f>_xlfn.XLOOKUP(CoreValuesResults[[#This Row],[Team Number]],InnovationProjectResults[Team Number],InnovationProjectResults[Communicate - Impact (CV)])</f>
        <v>0</v>
      </c>
      <c r="G172" s="87">
        <f>_xlfn.XLOOKUP(CoreValuesResults[[#This Row],[Team Number]],InnovationProjectResults[Team Number],InnovationProjectResults[Communicate - Fun (CV)])</f>
        <v>0</v>
      </c>
      <c r="H172" s="87">
        <f>_xlfn.XLOOKUP(CoreValuesResults[[#This Row],[Team Number]],RobotDesignResults[Team Number],RobotDesignResults[Identify - Research (CV)])</f>
        <v>0</v>
      </c>
      <c r="I172" s="87">
        <f>_xlfn.XLOOKUP(CoreValuesResults[[#This Row],[Team Number]],RobotDesignResults[Team Number],RobotDesignResults[Design - Ideas (CV)])</f>
        <v>0</v>
      </c>
      <c r="J172" s="87">
        <f>_xlfn.XLOOKUP(CoreValuesResults[[#This Row],[Team Number]],RobotDesignResults[Team Number],RobotDesignResults[Iterate - Improvements (CV)])</f>
        <v>0</v>
      </c>
      <c r="K172" s="87">
        <f>_xlfn.XLOOKUP(CoreValuesResults[[#This Row],[Team Number]],RobotDesignResults[Team Number],RobotDesignResults[Communicate - Impact (CV)])</f>
        <v>0</v>
      </c>
      <c r="L172" s="87">
        <f>_xlfn.XLOOKUP(CoreValuesResults[[#This Row],[Team Number]],RobotDesignResults[Team Number],RobotDesignResults[Communicate - Fun (CV)])</f>
        <v>0</v>
      </c>
      <c r="M172" s="17"/>
      <c r="N172" s="17"/>
      <c r="O172" s="17"/>
      <c r="P172" s="17"/>
      <c r="Q172" s="17"/>
      <c r="R172" s="12" t="str">
        <f>IF(CoreValuesResults[[#This Row],[Gracious Professionalism 1]]="","",COUNTIF(CoreValuesResults[[#This Row],[Gracious Professionalism 1]:[Gracious Professionalism 5]],""))</f>
        <v/>
      </c>
      <c r="S172" s="12" t="str">
        <f>IF(CoreValuesResults[[#This Row],[Gracious Professionalism 1]]="","",SUM(CoreValuesResults[[#This Row],[Gracious Professionalism 1]:[Gracious Professionalism 5]]))</f>
        <v/>
      </c>
      <c r="T172"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172" s="83">
        <f>SUM(CoreValuesResults[[#This Row],[Discovery (IP)]:[Fun (RD)]],CoreValuesResults[[#This Row],[Gracious Professionalism Score]])</f>
        <v>0</v>
      </c>
      <c r="V172" s="43">
        <f>IF(CoreValuesResults[[#This Row],[Team Number]]&gt;0,MIN(_xlfn.RANK.EQ(CoreValuesResults[[#This Row],[Core Values Score]],CoreValuesResults[Core Values Score],0),NumberOfTeams),NumberOfTeams+1)</f>
        <v>1</v>
      </c>
      <c r="W172" s="82"/>
      <c r="X172" s="82"/>
      <c r="Y172" s="82"/>
    </row>
    <row r="173" spans="1:25" ht="30" customHeight="1" x14ac:dyDescent="0.45">
      <c r="A173" s="12">
        <f>_xlfn.XLOOKUP(172,OfficialTeamList[Row],OfficialTeamList[Team Number],"ERROR",0)</f>
        <v>0</v>
      </c>
      <c r="B173" s="42" t="str">
        <f>_xlfn.XLOOKUP(CoreValuesResults[[#This Row],[Team Number]],OfficialTeamList[Team Number],OfficialTeamList[Team Name],"",0,)</f>
        <v/>
      </c>
      <c r="C173" s="87">
        <f>_xlfn.XLOOKUP(CoreValuesResults[[#This Row],[Team Number]],InnovationProjectResults[Team Number],InnovationProjectResults[Identify - Research (CV)])</f>
        <v>0</v>
      </c>
      <c r="D173" s="87">
        <f>_xlfn.XLOOKUP(CoreValuesResults[[#This Row],[Team Number]],InnovationProjectResults[Team Number],InnovationProjectResults[Design - Teamwork (CV)])</f>
        <v>0</v>
      </c>
      <c r="E173" s="87">
        <f>_xlfn.XLOOKUP(CoreValuesResults[[#This Row],[Team Number]],InnovationProjectResults[Team Number],InnovationProjectResults[Create - Innovation (CV)])</f>
        <v>0</v>
      </c>
      <c r="F173" s="87">
        <f>_xlfn.XLOOKUP(CoreValuesResults[[#This Row],[Team Number]],InnovationProjectResults[Team Number],InnovationProjectResults[Communicate - Impact (CV)])</f>
        <v>0</v>
      </c>
      <c r="G173" s="87">
        <f>_xlfn.XLOOKUP(CoreValuesResults[[#This Row],[Team Number]],InnovationProjectResults[Team Number],InnovationProjectResults[Communicate - Fun (CV)])</f>
        <v>0</v>
      </c>
      <c r="H173" s="87">
        <f>_xlfn.XLOOKUP(CoreValuesResults[[#This Row],[Team Number]],RobotDesignResults[Team Number],RobotDesignResults[Identify - Research (CV)])</f>
        <v>0</v>
      </c>
      <c r="I173" s="87">
        <f>_xlfn.XLOOKUP(CoreValuesResults[[#This Row],[Team Number]],RobotDesignResults[Team Number],RobotDesignResults[Design - Ideas (CV)])</f>
        <v>0</v>
      </c>
      <c r="J173" s="87">
        <f>_xlfn.XLOOKUP(CoreValuesResults[[#This Row],[Team Number]],RobotDesignResults[Team Number],RobotDesignResults[Iterate - Improvements (CV)])</f>
        <v>0</v>
      </c>
      <c r="K173" s="87">
        <f>_xlfn.XLOOKUP(CoreValuesResults[[#This Row],[Team Number]],RobotDesignResults[Team Number],RobotDesignResults[Communicate - Impact (CV)])</f>
        <v>0</v>
      </c>
      <c r="L173" s="87">
        <f>_xlfn.XLOOKUP(CoreValuesResults[[#This Row],[Team Number]],RobotDesignResults[Team Number],RobotDesignResults[Communicate - Fun (CV)])</f>
        <v>0</v>
      </c>
      <c r="M173" s="17"/>
      <c r="N173" s="17"/>
      <c r="O173" s="17"/>
      <c r="P173" s="17"/>
      <c r="Q173" s="17"/>
      <c r="R173" s="12" t="str">
        <f>IF(CoreValuesResults[[#This Row],[Gracious Professionalism 1]]="","",COUNTIF(CoreValuesResults[[#This Row],[Gracious Professionalism 1]:[Gracious Professionalism 5]],""))</f>
        <v/>
      </c>
      <c r="S173" s="12" t="str">
        <f>IF(CoreValuesResults[[#This Row],[Gracious Professionalism 1]]="","",SUM(CoreValuesResults[[#This Row],[Gracious Professionalism 1]:[Gracious Professionalism 5]]))</f>
        <v/>
      </c>
      <c r="T173"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173" s="83">
        <f>SUM(CoreValuesResults[[#This Row],[Discovery (IP)]:[Fun (RD)]],CoreValuesResults[[#This Row],[Gracious Professionalism Score]])</f>
        <v>0</v>
      </c>
      <c r="V173" s="43">
        <f>IF(CoreValuesResults[[#This Row],[Team Number]]&gt;0,MIN(_xlfn.RANK.EQ(CoreValuesResults[[#This Row],[Core Values Score]],CoreValuesResults[Core Values Score],0),NumberOfTeams),NumberOfTeams+1)</f>
        <v>1</v>
      </c>
      <c r="W173" s="82"/>
      <c r="X173" s="82"/>
      <c r="Y173" s="82"/>
    </row>
    <row r="174" spans="1:25" ht="30" customHeight="1" x14ac:dyDescent="0.45">
      <c r="A174" s="12">
        <f>_xlfn.XLOOKUP(173,OfficialTeamList[Row],OfficialTeamList[Team Number],"ERROR",0)</f>
        <v>0</v>
      </c>
      <c r="B174" s="42" t="str">
        <f>_xlfn.XLOOKUP(CoreValuesResults[[#This Row],[Team Number]],OfficialTeamList[Team Number],OfficialTeamList[Team Name],"",0,)</f>
        <v/>
      </c>
      <c r="C174" s="87">
        <f>_xlfn.XLOOKUP(CoreValuesResults[[#This Row],[Team Number]],InnovationProjectResults[Team Number],InnovationProjectResults[Identify - Research (CV)])</f>
        <v>0</v>
      </c>
      <c r="D174" s="87">
        <f>_xlfn.XLOOKUP(CoreValuesResults[[#This Row],[Team Number]],InnovationProjectResults[Team Number],InnovationProjectResults[Design - Teamwork (CV)])</f>
        <v>0</v>
      </c>
      <c r="E174" s="87">
        <f>_xlfn.XLOOKUP(CoreValuesResults[[#This Row],[Team Number]],InnovationProjectResults[Team Number],InnovationProjectResults[Create - Innovation (CV)])</f>
        <v>0</v>
      </c>
      <c r="F174" s="87">
        <f>_xlfn.XLOOKUP(CoreValuesResults[[#This Row],[Team Number]],InnovationProjectResults[Team Number],InnovationProjectResults[Communicate - Impact (CV)])</f>
        <v>0</v>
      </c>
      <c r="G174" s="87">
        <f>_xlfn.XLOOKUP(CoreValuesResults[[#This Row],[Team Number]],InnovationProjectResults[Team Number],InnovationProjectResults[Communicate - Fun (CV)])</f>
        <v>0</v>
      </c>
      <c r="H174" s="87">
        <f>_xlfn.XLOOKUP(CoreValuesResults[[#This Row],[Team Number]],RobotDesignResults[Team Number],RobotDesignResults[Identify - Research (CV)])</f>
        <v>0</v>
      </c>
      <c r="I174" s="87">
        <f>_xlfn.XLOOKUP(CoreValuesResults[[#This Row],[Team Number]],RobotDesignResults[Team Number],RobotDesignResults[Design - Ideas (CV)])</f>
        <v>0</v>
      </c>
      <c r="J174" s="87">
        <f>_xlfn.XLOOKUP(CoreValuesResults[[#This Row],[Team Number]],RobotDesignResults[Team Number],RobotDesignResults[Iterate - Improvements (CV)])</f>
        <v>0</v>
      </c>
      <c r="K174" s="87">
        <f>_xlfn.XLOOKUP(CoreValuesResults[[#This Row],[Team Number]],RobotDesignResults[Team Number],RobotDesignResults[Communicate - Impact (CV)])</f>
        <v>0</v>
      </c>
      <c r="L174" s="87">
        <f>_xlfn.XLOOKUP(CoreValuesResults[[#This Row],[Team Number]],RobotDesignResults[Team Number],RobotDesignResults[Communicate - Fun (CV)])</f>
        <v>0</v>
      </c>
      <c r="M174" s="17"/>
      <c r="N174" s="17"/>
      <c r="O174" s="17"/>
      <c r="P174" s="17"/>
      <c r="Q174" s="17"/>
      <c r="R174" s="12" t="str">
        <f>IF(CoreValuesResults[[#This Row],[Gracious Professionalism 1]]="","",COUNTIF(CoreValuesResults[[#This Row],[Gracious Professionalism 1]:[Gracious Professionalism 5]],""))</f>
        <v/>
      </c>
      <c r="S174" s="12" t="str">
        <f>IF(CoreValuesResults[[#This Row],[Gracious Professionalism 1]]="","",SUM(CoreValuesResults[[#This Row],[Gracious Professionalism 1]:[Gracious Professionalism 5]]))</f>
        <v/>
      </c>
      <c r="T174"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174" s="83">
        <f>SUM(CoreValuesResults[[#This Row],[Discovery (IP)]:[Fun (RD)]],CoreValuesResults[[#This Row],[Gracious Professionalism Score]])</f>
        <v>0</v>
      </c>
      <c r="V174" s="43">
        <f>IF(CoreValuesResults[[#This Row],[Team Number]]&gt;0,MIN(_xlfn.RANK.EQ(CoreValuesResults[[#This Row],[Core Values Score]],CoreValuesResults[Core Values Score],0),NumberOfTeams),NumberOfTeams+1)</f>
        <v>1</v>
      </c>
      <c r="W174" s="82"/>
      <c r="X174" s="82"/>
      <c r="Y174" s="82"/>
    </row>
    <row r="175" spans="1:25" ht="30" customHeight="1" x14ac:dyDescent="0.45">
      <c r="A175" s="12">
        <f>_xlfn.XLOOKUP(174,OfficialTeamList[Row],OfficialTeamList[Team Number],"ERROR",0)</f>
        <v>0</v>
      </c>
      <c r="B175" s="42" t="str">
        <f>_xlfn.XLOOKUP(CoreValuesResults[[#This Row],[Team Number]],OfficialTeamList[Team Number],OfficialTeamList[Team Name],"",0,)</f>
        <v/>
      </c>
      <c r="C175" s="87">
        <f>_xlfn.XLOOKUP(CoreValuesResults[[#This Row],[Team Number]],InnovationProjectResults[Team Number],InnovationProjectResults[Identify - Research (CV)])</f>
        <v>0</v>
      </c>
      <c r="D175" s="87">
        <f>_xlfn.XLOOKUP(CoreValuesResults[[#This Row],[Team Number]],InnovationProjectResults[Team Number],InnovationProjectResults[Design - Teamwork (CV)])</f>
        <v>0</v>
      </c>
      <c r="E175" s="87">
        <f>_xlfn.XLOOKUP(CoreValuesResults[[#This Row],[Team Number]],InnovationProjectResults[Team Number],InnovationProjectResults[Create - Innovation (CV)])</f>
        <v>0</v>
      </c>
      <c r="F175" s="87">
        <f>_xlfn.XLOOKUP(CoreValuesResults[[#This Row],[Team Number]],InnovationProjectResults[Team Number],InnovationProjectResults[Communicate - Impact (CV)])</f>
        <v>0</v>
      </c>
      <c r="G175" s="87">
        <f>_xlfn.XLOOKUP(CoreValuesResults[[#This Row],[Team Number]],InnovationProjectResults[Team Number],InnovationProjectResults[Communicate - Fun (CV)])</f>
        <v>0</v>
      </c>
      <c r="H175" s="87">
        <f>_xlfn.XLOOKUP(CoreValuesResults[[#This Row],[Team Number]],RobotDesignResults[Team Number],RobotDesignResults[Identify - Research (CV)])</f>
        <v>0</v>
      </c>
      <c r="I175" s="87">
        <f>_xlfn.XLOOKUP(CoreValuesResults[[#This Row],[Team Number]],RobotDesignResults[Team Number],RobotDesignResults[Design - Ideas (CV)])</f>
        <v>0</v>
      </c>
      <c r="J175" s="87">
        <f>_xlfn.XLOOKUP(CoreValuesResults[[#This Row],[Team Number]],RobotDesignResults[Team Number],RobotDesignResults[Iterate - Improvements (CV)])</f>
        <v>0</v>
      </c>
      <c r="K175" s="87">
        <f>_xlfn.XLOOKUP(CoreValuesResults[[#This Row],[Team Number]],RobotDesignResults[Team Number],RobotDesignResults[Communicate - Impact (CV)])</f>
        <v>0</v>
      </c>
      <c r="L175" s="87">
        <f>_xlfn.XLOOKUP(CoreValuesResults[[#This Row],[Team Number]],RobotDesignResults[Team Number],RobotDesignResults[Communicate - Fun (CV)])</f>
        <v>0</v>
      </c>
      <c r="M175" s="17"/>
      <c r="N175" s="17"/>
      <c r="O175" s="17"/>
      <c r="P175" s="17"/>
      <c r="Q175" s="17"/>
      <c r="R175" s="12" t="str">
        <f>IF(CoreValuesResults[[#This Row],[Gracious Professionalism 1]]="","",COUNTIF(CoreValuesResults[[#This Row],[Gracious Professionalism 1]:[Gracious Professionalism 5]],""))</f>
        <v/>
      </c>
      <c r="S175" s="12" t="str">
        <f>IF(CoreValuesResults[[#This Row],[Gracious Professionalism 1]]="","",SUM(CoreValuesResults[[#This Row],[Gracious Professionalism 1]:[Gracious Professionalism 5]]))</f>
        <v/>
      </c>
      <c r="T175"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175" s="83">
        <f>SUM(CoreValuesResults[[#This Row],[Discovery (IP)]:[Fun (RD)]],CoreValuesResults[[#This Row],[Gracious Professionalism Score]])</f>
        <v>0</v>
      </c>
      <c r="V175" s="43">
        <f>IF(CoreValuesResults[[#This Row],[Team Number]]&gt;0,MIN(_xlfn.RANK.EQ(CoreValuesResults[[#This Row],[Core Values Score]],CoreValuesResults[Core Values Score],0),NumberOfTeams),NumberOfTeams+1)</f>
        <v>1</v>
      </c>
      <c r="W175" s="82"/>
      <c r="X175" s="82"/>
      <c r="Y175" s="82"/>
    </row>
    <row r="176" spans="1:25" ht="30" customHeight="1" x14ac:dyDescent="0.45">
      <c r="A176" s="12">
        <f>_xlfn.XLOOKUP(175,OfficialTeamList[Row],OfficialTeamList[Team Number],"ERROR",0)</f>
        <v>0</v>
      </c>
      <c r="B176" s="42" t="str">
        <f>_xlfn.XLOOKUP(CoreValuesResults[[#This Row],[Team Number]],OfficialTeamList[Team Number],OfficialTeamList[Team Name],"",0,)</f>
        <v/>
      </c>
      <c r="C176" s="87">
        <f>_xlfn.XLOOKUP(CoreValuesResults[[#This Row],[Team Number]],InnovationProjectResults[Team Number],InnovationProjectResults[Identify - Research (CV)])</f>
        <v>0</v>
      </c>
      <c r="D176" s="87">
        <f>_xlfn.XLOOKUP(CoreValuesResults[[#This Row],[Team Number]],InnovationProjectResults[Team Number],InnovationProjectResults[Design - Teamwork (CV)])</f>
        <v>0</v>
      </c>
      <c r="E176" s="87">
        <f>_xlfn.XLOOKUP(CoreValuesResults[[#This Row],[Team Number]],InnovationProjectResults[Team Number],InnovationProjectResults[Create - Innovation (CV)])</f>
        <v>0</v>
      </c>
      <c r="F176" s="87">
        <f>_xlfn.XLOOKUP(CoreValuesResults[[#This Row],[Team Number]],InnovationProjectResults[Team Number],InnovationProjectResults[Communicate - Impact (CV)])</f>
        <v>0</v>
      </c>
      <c r="G176" s="87">
        <f>_xlfn.XLOOKUP(CoreValuesResults[[#This Row],[Team Number]],InnovationProjectResults[Team Number],InnovationProjectResults[Communicate - Fun (CV)])</f>
        <v>0</v>
      </c>
      <c r="H176" s="87">
        <f>_xlfn.XLOOKUP(CoreValuesResults[[#This Row],[Team Number]],RobotDesignResults[Team Number],RobotDesignResults[Identify - Research (CV)])</f>
        <v>0</v>
      </c>
      <c r="I176" s="87">
        <f>_xlfn.XLOOKUP(CoreValuesResults[[#This Row],[Team Number]],RobotDesignResults[Team Number],RobotDesignResults[Design - Ideas (CV)])</f>
        <v>0</v>
      </c>
      <c r="J176" s="87">
        <f>_xlfn.XLOOKUP(CoreValuesResults[[#This Row],[Team Number]],RobotDesignResults[Team Number],RobotDesignResults[Iterate - Improvements (CV)])</f>
        <v>0</v>
      </c>
      <c r="K176" s="87">
        <f>_xlfn.XLOOKUP(CoreValuesResults[[#This Row],[Team Number]],RobotDesignResults[Team Number],RobotDesignResults[Communicate - Impact (CV)])</f>
        <v>0</v>
      </c>
      <c r="L176" s="87">
        <f>_xlfn.XLOOKUP(CoreValuesResults[[#This Row],[Team Number]],RobotDesignResults[Team Number],RobotDesignResults[Communicate - Fun (CV)])</f>
        <v>0</v>
      </c>
      <c r="M176" s="17"/>
      <c r="N176" s="17"/>
      <c r="O176" s="17"/>
      <c r="P176" s="17"/>
      <c r="Q176" s="17"/>
      <c r="R176" s="12" t="str">
        <f>IF(CoreValuesResults[[#This Row],[Gracious Professionalism 1]]="","",COUNTIF(CoreValuesResults[[#This Row],[Gracious Professionalism 1]:[Gracious Professionalism 5]],""))</f>
        <v/>
      </c>
      <c r="S176" s="12" t="str">
        <f>IF(CoreValuesResults[[#This Row],[Gracious Professionalism 1]]="","",SUM(CoreValuesResults[[#This Row],[Gracious Professionalism 1]:[Gracious Professionalism 5]]))</f>
        <v/>
      </c>
      <c r="T176"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176" s="83">
        <f>SUM(CoreValuesResults[[#This Row],[Discovery (IP)]:[Fun (RD)]],CoreValuesResults[[#This Row],[Gracious Professionalism Score]])</f>
        <v>0</v>
      </c>
      <c r="V176" s="43">
        <f>IF(CoreValuesResults[[#This Row],[Team Number]]&gt;0,MIN(_xlfn.RANK.EQ(CoreValuesResults[[#This Row],[Core Values Score]],CoreValuesResults[Core Values Score],0),NumberOfTeams),NumberOfTeams+1)</f>
        <v>1</v>
      </c>
      <c r="W176" s="82"/>
      <c r="X176" s="82"/>
      <c r="Y176" s="82"/>
    </row>
    <row r="177" spans="1:25" ht="30" customHeight="1" x14ac:dyDescent="0.45">
      <c r="A177" s="12">
        <f>_xlfn.XLOOKUP(176,OfficialTeamList[Row],OfficialTeamList[Team Number],"ERROR",0)</f>
        <v>0</v>
      </c>
      <c r="B177" s="42" t="str">
        <f>_xlfn.XLOOKUP(CoreValuesResults[[#This Row],[Team Number]],OfficialTeamList[Team Number],OfficialTeamList[Team Name],"",0,)</f>
        <v/>
      </c>
      <c r="C177" s="87">
        <f>_xlfn.XLOOKUP(CoreValuesResults[[#This Row],[Team Number]],InnovationProjectResults[Team Number],InnovationProjectResults[Identify - Research (CV)])</f>
        <v>0</v>
      </c>
      <c r="D177" s="87">
        <f>_xlfn.XLOOKUP(CoreValuesResults[[#This Row],[Team Number]],InnovationProjectResults[Team Number],InnovationProjectResults[Design - Teamwork (CV)])</f>
        <v>0</v>
      </c>
      <c r="E177" s="87">
        <f>_xlfn.XLOOKUP(CoreValuesResults[[#This Row],[Team Number]],InnovationProjectResults[Team Number],InnovationProjectResults[Create - Innovation (CV)])</f>
        <v>0</v>
      </c>
      <c r="F177" s="87">
        <f>_xlfn.XLOOKUP(CoreValuesResults[[#This Row],[Team Number]],InnovationProjectResults[Team Number],InnovationProjectResults[Communicate - Impact (CV)])</f>
        <v>0</v>
      </c>
      <c r="G177" s="87">
        <f>_xlfn.XLOOKUP(CoreValuesResults[[#This Row],[Team Number]],InnovationProjectResults[Team Number],InnovationProjectResults[Communicate - Fun (CV)])</f>
        <v>0</v>
      </c>
      <c r="H177" s="87">
        <f>_xlfn.XLOOKUP(CoreValuesResults[[#This Row],[Team Number]],RobotDesignResults[Team Number],RobotDesignResults[Identify - Research (CV)])</f>
        <v>0</v>
      </c>
      <c r="I177" s="87">
        <f>_xlfn.XLOOKUP(CoreValuesResults[[#This Row],[Team Number]],RobotDesignResults[Team Number],RobotDesignResults[Design - Ideas (CV)])</f>
        <v>0</v>
      </c>
      <c r="J177" s="87">
        <f>_xlfn.XLOOKUP(CoreValuesResults[[#This Row],[Team Number]],RobotDesignResults[Team Number],RobotDesignResults[Iterate - Improvements (CV)])</f>
        <v>0</v>
      </c>
      <c r="K177" s="87">
        <f>_xlfn.XLOOKUP(CoreValuesResults[[#This Row],[Team Number]],RobotDesignResults[Team Number],RobotDesignResults[Communicate - Impact (CV)])</f>
        <v>0</v>
      </c>
      <c r="L177" s="87">
        <f>_xlfn.XLOOKUP(CoreValuesResults[[#This Row],[Team Number]],RobotDesignResults[Team Number],RobotDesignResults[Communicate - Fun (CV)])</f>
        <v>0</v>
      </c>
      <c r="M177" s="17"/>
      <c r="N177" s="17"/>
      <c r="O177" s="17"/>
      <c r="P177" s="17"/>
      <c r="Q177" s="17"/>
      <c r="R177" s="12" t="str">
        <f>IF(CoreValuesResults[[#This Row],[Gracious Professionalism 1]]="","",COUNTIF(CoreValuesResults[[#This Row],[Gracious Professionalism 1]:[Gracious Professionalism 5]],""))</f>
        <v/>
      </c>
      <c r="S177" s="12" t="str">
        <f>IF(CoreValuesResults[[#This Row],[Gracious Professionalism 1]]="","",SUM(CoreValuesResults[[#This Row],[Gracious Professionalism 1]:[Gracious Professionalism 5]]))</f>
        <v/>
      </c>
      <c r="T177"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177" s="83">
        <f>SUM(CoreValuesResults[[#This Row],[Discovery (IP)]:[Fun (RD)]],CoreValuesResults[[#This Row],[Gracious Professionalism Score]])</f>
        <v>0</v>
      </c>
      <c r="V177" s="43">
        <f>IF(CoreValuesResults[[#This Row],[Team Number]]&gt;0,MIN(_xlfn.RANK.EQ(CoreValuesResults[[#This Row],[Core Values Score]],CoreValuesResults[Core Values Score],0),NumberOfTeams),NumberOfTeams+1)</f>
        <v>1</v>
      </c>
      <c r="W177" s="82"/>
      <c r="X177" s="82"/>
      <c r="Y177" s="82"/>
    </row>
    <row r="178" spans="1:25" ht="30" customHeight="1" x14ac:dyDescent="0.45">
      <c r="A178" s="12">
        <f>_xlfn.XLOOKUP(177,OfficialTeamList[Row],OfficialTeamList[Team Number],"ERROR",0)</f>
        <v>0</v>
      </c>
      <c r="B178" s="42" t="str">
        <f>_xlfn.XLOOKUP(CoreValuesResults[[#This Row],[Team Number]],OfficialTeamList[Team Number],OfficialTeamList[Team Name],"",0,)</f>
        <v/>
      </c>
      <c r="C178" s="87">
        <f>_xlfn.XLOOKUP(CoreValuesResults[[#This Row],[Team Number]],InnovationProjectResults[Team Number],InnovationProjectResults[Identify - Research (CV)])</f>
        <v>0</v>
      </c>
      <c r="D178" s="87">
        <f>_xlfn.XLOOKUP(CoreValuesResults[[#This Row],[Team Number]],InnovationProjectResults[Team Number],InnovationProjectResults[Design - Teamwork (CV)])</f>
        <v>0</v>
      </c>
      <c r="E178" s="87">
        <f>_xlfn.XLOOKUP(CoreValuesResults[[#This Row],[Team Number]],InnovationProjectResults[Team Number],InnovationProjectResults[Create - Innovation (CV)])</f>
        <v>0</v>
      </c>
      <c r="F178" s="87">
        <f>_xlfn.XLOOKUP(CoreValuesResults[[#This Row],[Team Number]],InnovationProjectResults[Team Number],InnovationProjectResults[Communicate - Impact (CV)])</f>
        <v>0</v>
      </c>
      <c r="G178" s="87">
        <f>_xlfn.XLOOKUP(CoreValuesResults[[#This Row],[Team Number]],InnovationProjectResults[Team Number],InnovationProjectResults[Communicate - Fun (CV)])</f>
        <v>0</v>
      </c>
      <c r="H178" s="87">
        <f>_xlfn.XLOOKUP(CoreValuesResults[[#This Row],[Team Number]],RobotDesignResults[Team Number],RobotDesignResults[Identify - Research (CV)])</f>
        <v>0</v>
      </c>
      <c r="I178" s="87">
        <f>_xlfn.XLOOKUP(CoreValuesResults[[#This Row],[Team Number]],RobotDesignResults[Team Number],RobotDesignResults[Design - Ideas (CV)])</f>
        <v>0</v>
      </c>
      <c r="J178" s="87">
        <f>_xlfn.XLOOKUP(CoreValuesResults[[#This Row],[Team Number]],RobotDesignResults[Team Number],RobotDesignResults[Iterate - Improvements (CV)])</f>
        <v>0</v>
      </c>
      <c r="K178" s="87">
        <f>_xlfn.XLOOKUP(CoreValuesResults[[#This Row],[Team Number]],RobotDesignResults[Team Number],RobotDesignResults[Communicate - Impact (CV)])</f>
        <v>0</v>
      </c>
      <c r="L178" s="87">
        <f>_xlfn.XLOOKUP(CoreValuesResults[[#This Row],[Team Number]],RobotDesignResults[Team Number],RobotDesignResults[Communicate - Fun (CV)])</f>
        <v>0</v>
      </c>
      <c r="M178" s="17"/>
      <c r="N178" s="17"/>
      <c r="O178" s="17"/>
      <c r="P178" s="17"/>
      <c r="Q178" s="17"/>
      <c r="R178" s="12" t="str">
        <f>IF(CoreValuesResults[[#This Row],[Gracious Professionalism 1]]="","",COUNTIF(CoreValuesResults[[#This Row],[Gracious Professionalism 1]:[Gracious Professionalism 5]],""))</f>
        <v/>
      </c>
      <c r="S178" s="12" t="str">
        <f>IF(CoreValuesResults[[#This Row],[Gracious Professionalism 1]]="","",SUM(CoreValuesResults[[#This Row],[Gracious Professionalism 1]:[Gracious Professionalism 5]]))</f>
        <v/>
      </c>
      <c r="T178"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178" s="83">
        <f>SUM(CoreValuesResults[[#This Row],[Discovery (IP)]:[Fun (RD)]],CoreValuesResults[[#This Row],[Gracious Professionalism Score]])</f>
        <v>0</v>
      </c>
      <c r="V178" s="43">
        <f>IF(CoreValuesResults[[#This Row],[Team Number]]&gt;0,MIN(_xlfn.RANK.EQ(CoreValuesResults[[#This Row],[Core Values Score]],CoreValuesResults[Core Values Score],0),NumberOfTeams),NumberOfTeams+1)</f>
        <v>1</v>
      </c>
      <c r="W178" s="82"/>
      <c r="X178" s="82"/>
      <c r="Y178" s="82"/>
    </row>
    <row r="179" spans="1:25" ht="30" customHeight="1" x14ac:dyDescent="0.45">
      <c r="A179" s="12">
        <f>_xlfn.XLOOKUP(178,OfficialTeamList[Row],OfficialTeamList[Team Number],"ERROR",0)</f>
        <v>0</v>
      </c>
      <c r="B179" s="42" t="str">
        <f>_xlfn.XLOOKUP(CoreValuesResults[[#This Row],[Team Number]],OfficialTeamList[Team Number],OfficialTeamList[Team Name],"",0,)</f>
        <v/>
      </c>
      <c r="C179" s="87">
        <f>_xlfn.XLOOKUP(CoreValuesResults[[#This Row],[Team Number]],InnovationProjectResults[Team Number],InnovationProjectResults[Identify - Research (CV)])</f>
        <v>0</v>
      </c>
      <c r="D179" s="87">
        <f>_xlfn.XLOOKUP(CoreValuesResults[[#This Row],[Team Number]],InnovationProjectResults[Team Number],InnovationProjectResults[Design - Teamwork (CV)])</f>
        <v>0</v>
      </c>
      <c r="E179" s="87">
        <f>_xlfn.XLOOKUP(CoreValuesResults[[#This Row],[Team Number]],InnovationProjectResults[Team Number],InnovationProjectResults[Create - Innovation (CV)])</f>
        <v>0</v>
      </c>
      <c r="F179" s="87">
        <f>_xlfn.XLOOKUP(CoreValuesResults[[#This Row],[Team Number]],InnovationProjectResults[Team Number],InnovationProjectResults[Communicate - Impact (CV)])</f>
        <v>0</v>
      </c>
      <c r="G179" s="87">
        <f>_xlfn.XLOOKUP(CoreValuesResults[[#This Row],[Team Number]],InnovationProjectResults[Team Number],InnovationProjectResults[Communicate - Fun (CV)])</f>
        <v>0</v>
      </c>
      <c r="H179" s="87">
        <f>_xlfn.XLOOKUP(CoreValuesResults[[#This Row],[Team Number]],RobotDesignResults[Team Number],RobotDesignResults[Identify - Research (CV)])</f>
        <v>0</v>
      </c>
      <c r="I179" s="87">
        <f>_xlfn.XLOOKUP(CoreValuesResults[[#This Row],[Team Number]],RobotDesignResults[Team Number],RobotDesignResults[Design - Ideas (CV)])</f>
        <v>0</v>
      </c>
      <c r="J179" s="87">
        <f>_xlfn.XLOOKUP(CoreValuesResults[[#This Row],[Team Number]],RobotDesignResults[Team Number],RobotDesignResults[Iterate - Improvements (CV)])</f>
        <v>0</v>
      </c>
      <c r="K179" s="87">
        <f>_xlfn.XLOOKUP(CoreValuesResults[[#This Row],[Team Number]],RobotDesignResults[Team Number],RobotDesignResults[Communicate - Impact (CV)])</f>
        <v>0</v>
      </c>
      <c r="L179" s="87">
        <f>_xlfn.XLOOKUP(CoreValuesResults[[#This Row],[Team Number]],RobotDesignResults[Team Number],RobotDesignResults[Communicate - Fun (CV)])</f>
        <v>0</v>
      </c>
      <c r="M179" s="17"/>
      <c r="N179" s="17"/>
      <c r="O179" s="17"/>
      <c r="P179" s="17"/>
      <c r="Q179" s="17"/>
      <c r="R179" s="12" t="str">
        <f>IF(CoreValuesResults[[#This Row],[Gracious Professionalism 1]]="","",COUNTIF(CoreValuesResults[[#This Row],[Gracious Professionalism 1]:[Gracious Professionalism 5]],""))</f>
        <v/>
      </c>
      <c r="S179" s="12" t="str">
        <f>IF(CoreValuesResults[[#This Row],[Gracious Professionalism 1]]="","",SUM(CoreValuesResults[[#This Row],[Gracious Professionalism 1]:[Gracious Professionalism 5]]))</f>
        <v/>
      </c>
      <c r="T179"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179" s="83">
        <f>SUM(CoreValuesResults[[#This Row],[Discovery (IP)]:[Fun (RD)]],CoreValuesResults[[#This Row],[Gracious Professionalism Score]])</f>
        <v>0</v>
      </c>
      <c r="V179" s="43">
        <f>IF(CoreValuesResults[[#This Row],[Team Number]]&gt;0,MIN(_xlfn.RANK.EQ(CoreValuesResults[[#This Row],[Core Values Score]],CoreValuesResults[Core Values Score],0),NumberOfTeams),NumberOfTeams+1)</f>
        <v>1</v>
      </c>
      <c r="W179" s="82"/>
      <c r="X179" s="82"/>
      <c r="Y179" s="82"/>
    </row>
    <row r="180" spans="1:25" ht="30" customHeight="1" x14ac:dyDescent="0.45">
      <c r="A180" s="12">
        <f>_xlfn.XLOOKUP(179,OfficialTeamList[Row],OfficialTeamList[Team Number],"ERROR",0)</f>
        <v>0</v>
      </c>
      <c r="B180" s="42" t="str">
        <f>_xlfn.XLOOKUP(CoreValuesResults[[#This Row],[Team Number]],OfficialTeamList[Team Number],OfficialTeamList[Team Name],"",0,)</f>
        <v/>
      </c>
      <c r="C180" s="87">
        <f>_xlfn.XLOOKUP(CoreValuesResults[[#This Row],[Team Number]],InnovationProjectResults[Team Number],InnovationProjectResults[Identify - Research (CV)])</f>
        <v>0</v>
      </c>
      <c r="D180" s="87">
        <f>_xlfn.XLOOKUP(CoreValuesResults[[#This Row],[Team Number]],InnovationProjectResults[Team Number],InnovationProjectResults[Design - Teamwork (CV)])</f>
        <v>0</v>
      </c>
      <c r="E180" s="87">
        <f>_xlfn.XLOOKUP(CoreValuesResults[[#This Row],[Team Number]],InnovationProjectResults[Team Number],InnovationProjectResults[Create - Innovation (CV)])</f>
        <v>0</v>
      </c>
      <c r="F180" s="87">
        <f>_xlfn.XLOOKUP(CoreValuesResults[[#This Row],[Team Number]],InnovationProjectResults[Team Number],InnovationProjectResults[Communicate - Impact (CV)])</f>
        <v>0</v>
      </c>
      <c r="G180" s="87">
        <f>_xlfn.XLOOKUP(CoreValuesResults[[#This Row],[Team Number]],InnovationProjectResults[Team Number],InnovationProjectResults[Communicate - Fun (CV)])</f>
        <v>0</v>
      </c>
      <c r="H180" s="87">
        <f>_xlfn.XLOOKUP(CoreValuesResults[[#This Row],[Team Number]],RobotDesignResults[Team Number],RobotDesignResults[Identify - Research (CV)])</f>
        <v>0</v>
      </c>
      <c r="I180" s="87">
        <f>_xlfn.XLOOKUP(CoreValuesResults[[#This Row],[Team Number]],RobotDesignResults[Team Number],RobotDesignResults[Design - Ideas (CV)])</f>
        <v>0</v>
      </c>
      <c r="J180" s="87">
        <f>_xlfn.XLOOKUP(CoreValuesResults[[#This Row],[Team Number]],RobotDesignResults[Team Number],RobotDesignResults[Iterate - Improvements (CV)])</f>
        <v>0</v>
      </c>
      <c r="K180" s="87">
        <f>_xlfn.XLOOKUP(CoreValuesResults[[#This Row],[Team Number]],RobotDesignResults[Team Number],RobotDesignResults[Communicate - Impact (CV)])</f>
        <v>0</v>
      </c>
      <c r="L180" s="87">
        <f>_xlfn.XLOOKUP(CoreValuesResults[[#This Row],[Team Number]],RobotDesignResults[Team Number],RobotDesignResults[Communicate - Fun (CV)])</f>
        <v>0</v>
      </c>
      <c r="M180" s="17"/>
      <c r="N180" s="17"/>
      <c r="O180" s="17"/>
      <c r="P180" s="17"/>
      <c r="Q180" s="17"/>
      <c r="R180" s="12" t="str">
        <f>IF(CoreValuesResults[[#This Row],[Gracious Professionalism 1]]="","",COUNTIF(CoreValuesResults[[#This Row],[Gracious Professionalism 1]:[Gracious Professionalism 5]],""))</f>
        <v/>
      </c>
      <c r="S180" s="12" t="str">
        <f>IF(CoreValuesResults[[#This Row],[Gracious Professionalism 1]]="","",SUM(CoreValuesResults[[#This Row],[Gracious Professionalism 1]:[Gracious Professionalism 5]]))</f>
        <v/>
      </c>
      <c r="T180"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180" s="83">
        <f>SUM(CoreValuesResults[[#This Row],[Discovery (IP)]:[Fun (RD)]],CoreValuesResults[[#This Row],[Gracious Professionalism Score]])</f>
        <v>0</v>
      </c>
      <c r="V180" s="43">
        <f>IF(CoreValuesResults[[#This Row],[Team Number]]&gt;0,MIN(_xlfn.RANK.EQ(CoreValuesResults[[#This Row],[Core Values Score]],CoreValuesResults[Core Values Score],0),NumberOfTeams),NumberOfTeams+1)</f>
        <v>1</v>
      </c>
      <c r="W180" s="82"/>
      <c r="X180" s="82"/>
      <c r="Y180" s="82"/>
    </row>
    <row r="181" spans="1:25" ht="30" customHeight="1" x14ac:dyDescent="0.45">
      <c r="A181" s="12">
        <f>_xlfn.XLOOKUP(180,OfficialTeamList[Row],OfficialTeamList[Team Number],"ERROR",0)</f>
        <v>0</v>
      </c>
      <c r="B181" s="42" t="str">
        <f>_xlfn.XLOOKUP(CoreValuesResults[[#This Row],[Team Number]],OfficialTeamList[Team Number],OfficialTeamList[Team Name],"",0,)</f>
        <v/>
      </c>
      <c r="C181" s="87">
        <f>_xlfn.XLOOKUP(CoreValuesResults[[#This Row],[Team Number]],InnovationProjectResults[Team Number],InnovationProjectResults[Identify - Research (CV)])</f>
        <v>0</v>
      </c>
      <c r="D181" s="87">
        <f>_xlfn.XLOOKUP(CoreValuesResults[[#This Row],[Team Number]],InnovationProjectResults[Team Number],InnovationProjectResults[Design - Teamwork (CV)])</f>
        <v>0</v>
      </c>
      <c r="E181" s="87">
        <f>_xlfn.XLOOKUP(CoreValuesResults[[#This Row],[Team Number]],InnovationProjectResults[Team Number],InnovationProjectResults[Create - Innovation (CV)])</f>
        <v>0</v>
      </c>
      <c r="F181" s="87">
        <f>_xlfn.XLOOKUP(CoreValuesResults[[#This Row],[Team Number]],InnovationProjectResults[Team Number],InnovationProjectResults[Communicate - Impact (CV)])</f>
        <v>0</v>
      </c>
      <c r="G181" s="87">
        <f>_xlfn.XLOOKUP(CoreValuesResults[[#This Row],[Team Number]],InnovationProjectResults[Team Number],InnovationProjectResults[Communicate - Fun (CV)])</f>
        <v>0</v>
      </c>
      <c r="H181" s="87">
        <f>_xlfn.XLOOKUP(CoreValuesResults[[#This Row],[Team Number]],RobotDesignResults[Team Number],RobotDesignResults[Identify - Research (CV)])</f>
        <v>0</v>
      </c>
      <c r="I181" s="87">
        <f>_xlfn.XLOOKUP(CoreValuesResults[[#This Row],[Team Number]],RobotDesignResults[Team Number],RobotDesignResults[Design - Ideas (CV)])</f>
        <v>0</v>
      </c>
      <c r="J181" s="87">
        <f>_xlfn.XLOOKUP(CoreValuesResults[[#This Row],[Team Number]],RobotDesignResults[Team Number],RobotDesignResults[Iterate - Improvements (CV)])</f>
        <v>0</v>
      </c>
      <c r="K181" s="87">
        <f>_xlfn.XLOOKUP(CoreValuesResults[[#This Row],[Team Number]],RobotDesignResults[Team Number],RobotDesignResults[Communicate - Impact (CV)])</f>
        <v>0</v>
      </c>
      <c r="L181" s="87">
        <f>_xlfn.XLOOKUP(CoreValuesResults[[#This Row],[Team Number]],RobotDesignResults[Team Number],RobotDesignResults[Communicate - Fun (CV)])</f>
        <v>0</v>
      </c>
      <c r="M181" s="17"/>
      <c r="N181" s="17"/>
      <c r="O181" s="17"/>
      <c r="P181" s="17"/>
      <c r="Q181" s="17"/>
      <c r="R181" s="12" t="str">
        <f>IF(CoreValuesResults[[#This Row],[Gracious Professionalism 1]]="","",COUNTIF(CoreValuesResults[[#This Row],[Gracious Professionalism 1]:[Gracious Professionalism 5]],""))</f>
        <v/>
      </c>
      <c r="S181" s="12" t="str">
        <f>IF(CoreValuesResults[[#This Row],[Gracious Professionalism 1]]="","",SUM(CoreValuesResults[[#This Row],[Gracious Professionalism 1]:[Gracious Professionalism 5]]))</f>
        <v/>
      </c>
      <c r="T181"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181" s="83">
        <f>SUM(CoreValuesResults[[#This Row],[Discovery (IP)]:[Fun (RD)]],CoreValuesResults[[#This Row],[Gracious Professionalism Score]])</f>
        <v>0</v>
      </c>
      <c r="V181" s="43">
        <f>IF(CoreValuesResults[[#This Row],[Team Number]]&gt;0,MIN(_xlfn.RANK.EQ(CoreValuesResults[[#This Row],[Core Values Score]],CoreValuesResults[Core Values Score],0),NumberOfTeams),NumberOfTeams+1)</f>
        <v>1</v>
      </c>
      <c r="W181" s="82"/>
      <c r="X181" s="82"/>
      <c r="Y181" s="82"/>
    </row>
    <row r="182" spans="1:25" ht="30" customHeight="1" x14ac:dyDescent="0.45">
      <c r="A182" s="12">
        <f>_xlfn.XLOOKUP(181,OfficialTeamList[Row],OfficialTeamList[Team Number],"ERROR",0)</f>
        <v>0</v>
      </c>
      <c r="B182" s="42" t="str">
        <f>_xlfn.XLOOKUP(CoreValuesResults[[#This Row],[Team Number]],OfficialTeamList[Team Number],OfficialTeamList[Team Name],"",0,)</f>
        <v/>
      </c>
      <c r="C182" s="87">
        <f>_xlfn.XLOOKUP(CoreValuesResults[[#This Row],[Team Number]],InnovationProjectResults[Team Number],InnovationProjectResults[Identify - Research (CV)])</f>
        <v>0</v>
      </c>
      <c r="D182" s="87">
        <f>_xlfn.XLOOKUP(CoreValuesResults[[#This Row],[Team Number]],InnovationProjectResults[Team Number],InnovationProjectResults[Design - Teamwork (CV)])</f>
        <v>0</v>
      </c>
      <c r="E182" s="87">
        <f>_xlfn.XLOOKUP(CoreValuesResults[[#This Row],[Team Number]],InnovationProjectResults[Team Number],InnovationProjectResults[Create - Innovation (CV)])</f>
        <v>0</v>
      </c>
      <c r="F182" s="87">
        <f>_xlfn.XLOOKUP(CoreValuesResults[[#This Row],[Team Number]],InnovationProjectResults[Team Number],InnovationProjectResults[Communicate - Impact (CV)])</f>
        <v>0</v>
      </c>
      <c r="G182" s="87">
        <f>_xlfn.XLOOKUP(CoreValuesResults[[#This Row],[Team Number]],InnovationProjectResults[Team Number],InnovationProjectResults[Communicate - Fun (CV)])</f>
        <v>0</v>
      </c>
      <c r="H182" s="87">
        <f>_xlfn.XLOOKUP(CoreValuesResults[[#This Row],[Team Number]],RobotDesignResults[Team Number],RobotDesignResults[Identify - Research (CV)])</f>
        <v>0</v>
      </c>
      <c r="I182" s="87">
        <f>_xlfn.XLOOKUP(CoreValuesResults[[#This Row],[Team Number]],RobotDesignResults[Team Number],RobotDesignResults[Design - Ideas (CV)])</f>
        <v>0</v>
      </c>
      <c r="J182" s="87">
        <f>_xlfn.XLOOKUP(CoreValuesResults[[#This Row],[Team Number]],RobotDesignResults[Team Number],RobotDesignResults[Iterate - Improvements (CV)])</f>
        <v>0</v>
      </c>
      <c r="K182" s="87">
        <f>_xlfn.XLOOKUP(CoreValuesResults[[#This Row],[Team Number]],RobotDesignResults[Team Number],RobotDesignResults[Communicate - Impact (CV)])</f>
        <v>0</v>
      </c>
      <c r="L182" s="87">
        <f>_xlfn.XLOOKUP(CoreValuesResults[[#This Row],[Team Number]],RobotDesignResults[Team Number],RobotDesignResults[Communicate - Fun (CV)])</f>
        <v>0</v>
      </c>
      <c r="M182" s="17"/>
      <c r="N182" s="17"/>
      <c r="O182" s="17"/>
      <c r="P182" s="17"/>
      <c r="Q182" s="17"/>
      <c r="R182" s="12" t="str">
        <f>IF(CoreValuesResults[[#This Row],[Gracious Professionalism 1]]="","",COUNTIF(CoreValuesResults[[#This Row],[Gracious Professionalism 1]:[Gracious Professionalism 5]],""))</f>
        <v/>
      </c>
      <c r="S182" s="12" t="str">
        <f>IF(CoreValuesResults[[#This Row],[Gracious Professionalism 1]]="","",SUM(CoreValuesResults[[#This Row],[Gracious Professionalism 1]:[Gracious Professionalism 5]]))</f>
        <v/>
      </c>
      <c r="T182"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182" s="83">
        <f>SUM(CoreValuesResults[[#This Row],[Discovery (IP)]:[Fun (RD)]],CoreValuesResults[[#This Row],[Gracious Professionalism Score]])</f>
        <v>0</v>
      </c>
      <c r="V182" s="43">
        <f>IF(CoreValuesResults[[#This Row],[Team Number]]&gt;0,MIN(_xlfn.RANK.EQ(CoreValuesResults[[#This Row],[Core Values Score]],CoreValuesResults[Core Values Score],0),NumberOfTeams),NumberOfTeams+1)</f>
        <v>1</v>
      </c>
      <c r="W182" s="82"/>
      <c r="X182" s="82"/>
      <c r="Y182" s="82"/>
    </row>
    <row r="183" spans="1:25" ht="30" customHeight="1" x14ac:dyDescent="0.45">
      <c r="A183" s="12">
        <f>_xlfn.XLOOKUP(182,OfficialTeamList[Row],OfficialTeamList[Team Number],"ERROR",0)</f>
        <v>0</v>
      </c>
      <c r="B183" s="42" t="str">
        <f>_xlfn.XLOOKUP(CoreValuesResults[[#This Row],[Team Number]],OfficialTeamList[Team Number],OfficialTeamList[Team Name],"",0,)</f>
        <v/>
      </c>
      <c r="C183" s="87">
        <f>_xlfn.XLOOKUP(CoreValuesResults[[#This Row],[Team Number]],InnovationProjectResults[Team Number],InnovationProjectResults[Identify - Research (CV)])</f>
        <v>0</v>
      </c>
      <c r="D183" s="87">
        <f>_xlfn.XLOOKUP(CoreValuesResults[[#This Row],[Team Number]],InnovationProjectResults[Team Number],InnovationProjectResults[Design - Teamwork (CV)])</f>
        <v>0</v>
      </c>
      <c r="E183" s="87">
        <f>_xlfn.XLOOKUP(CoreValuesResults[[#This Row],[Team Number]],InnovationProjectResults[Team Number],InnovationProjectResults[Create - Innovation (CV)])</f>
        <v>0</v>
      </c>
      <c r="F183" s="87">
        <f>_xlfn.XLOOKUP(CoreValuesResults[[#This Row],[Team Number]],InnovationProjectResults[Team Number],InnovationProjectResults[Communicate - Impact (CV)])</f>
        <v>0</v>
      </c>
      <c r="G183" s="87">
        <f>_xlfn.XLOOKUP(CoreValuesResults[[#This Row],[Team Number]],InnovationProjectResults[Team Number],InnovationProjectResults[Communicate - Fun (CV)])</f>
        <v>0</v>
      </c>
      <c r="H183" s="87">
        <f>_xlfn.XLOOKUP(CoreValuesResults[[#This Row],[Team Number]],RobotDesignResults[Team Number],RobotDesignResults[Identify - Research (CV)])</f>
        <v>0</v>
      </c>
      <c r="I183" s="87">
        <f>_xlfn.XLOOKUP(CoreValuesResults[[#This Row],[Team Number]],RobotDesignResults[Team Number],RobotDesignResults[Design - Ideas (CV)])</f>
        <v>0</v>
      </c>
      <c r="J183" s="87">
        <f>_xlfn.XLOOKUP(CoreValuesResults[[#This Row],[Team Number]],RobotDesignResults[Team Number],RobotDesignResults[Iterate - Improvements (CV)])</f>
        <v>0</v>
      </c>
      <c r="K183" s="87">
        <f>_xlfn.XLOOKUP(CoreValuesResults[[#This Row],[Team Number]],RobotDesignResults[Team Number],RobotDesignResults[Communicate - Impact (CV)])</f>
        <v>0</v>
      </c>
      <c r="L183" s="87">
        <f>_xlfn.XLOOKUP(CoreValuesResults[[#This Row],[Team Number]],RobotDesignResults[Team Number],RobotDesignResults[Communicate - Fun (CV)])</f>
        <v>0</v>
      </c>
      <c r="M183" s="17"/>
      <c r="N183" s="17"/>
      <c r="O183" s="17"/>
      <c r="P183" s="17"/>
      <c r="Q183" s="17"/>
      <c r="R183" s="12" t="str">
        <f>IF(CoreValuesResults[[#This Row],[Gracious Professionalism 1]]="","",COUNTIF(CoreValuesResults[[#This Row],[Gracious Professionalism 1]:[Gracious Professionalism 5]],""))</f>
        <v/>
      </c>
      <c r="S183" s="12" t="str">
        <f>IF(CoreValuesResults[[#This Row],[Gracious Professionalism 1]]="","",SUM(CoreValuesResults[[#This Row],[Gracious Professionalism 1]:[Gracious Professionalism 5]]))</f>
        <v/>
      </c>
      <c r="T183"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183" s="83">
        <f>SUM(CoreValuesResults[[#This Row],[Discovery (IP)]:[Fun (RD)]],CoreValuesResults[[#This Row],[Gracious Professionalism Score]])</f>
        <v>0</v>
      </c>
      <c r="V183" s="43">
        <f>IF(CoreValuesResults[[#This Row],[Team Number]]&gt;0,MIN(_xlfn.RANK.EQ(CoreValuesResults[[#This Row],[Core Values Score]],CoreValuesResults[Core Values Score],0),NumberOfTeams),NumberOfTeams+1)</f>
        <v>1</v>
      </c>
      <c r="W183" s="82"/>
      <c r="X183" s="82"/>
      <c r="Y183" s="82"/>
    </row>
    <row r="184" spans="1:25" ht="30" customHeight="1" x14ac:dyDescent="0.45">
      <c r="A184" s="12">
        <f>_xlfn.XLOOKUP(183,OfficialTeamList[Row],OfficialTeamList[Team Number],"ERROR",0)</f>
        <v>0</v>
      </c>
      <c r="B184" s="42" t="str">
        <f>_xlfn.XLOOKUP(CoreValuesResults[[#This Row],[Team Number]],OfficialTeamList[Team Number],OfficialTeamList[Team Name],"",0,)</f>
        <v/>
      </c>
      <c r="C184" s="87">
        <f>_xlfn.XLOOKUP(CoreValuesResults[[#This Row],[Team Number]],InnovationProjectResults[Team Number],InnovationProjectResults[Identify - Research (CV)])</f>
        <v>0</v>
      </c>
      <c r="D184" s="87">
        <f>_xlfn.XLOOKUP(CoreValuesResults[[#This Row],[Team Number]],InnovationProjectResults[Team Number],InnovationProjectResults[Design - Teamwork (CV)])</f>
        <v>0</v>
      </c>
      <c r="E184" s="87">
        <f>_xlfn.XLOOKUP(CoreValuesResults[[#This Row],[Team Number]],InnovationProjectResults[Team Number],InnovationProjectResults[Create - Innovation (CV)])</f>
        <v>0</v>
      </c>
      <c r="F184" s="87">
        <f>_xlfn.XLOOKUP(CoreValuesResults[[#This Row],[Team Number]],InnovationProjectResults[Team Number],InnovationProjectResults[Communicate - Impact (CV)])</f>
        <v>0</v>
      </c>
      <c r="G184" s="87">
        <f>_xlfn.XLOOKUP(CoreValuesResults[[#This Row],[Team Number]],InnovationProjectResults[Team Number],InnovationProjectResults[Communicate - Fun (CV)])</f>
        <v>0</v>
      </c>
      <c r="H184" s="87">
        <f>_xlfn.XLOOKUP(CoreValuesResults[[#This Row],[Team Number]],RobotDesignResults[Team Number],RobotDesignResults[Identify - Research (CV)])</f>
        <v>0</v>
      </c>
      <c r="I184" s="87">
        <f>_xlfn.XLOOKUP(CoreValuesResults[[#This Row],[Team Number]],RobotDesignResults[Team Number],RobotDesignResults[Design - Ideas (CV)])</f>
        <v>0</v>
      </c>
      <c r="J184" s="87">
        <f>_xlfn.XLOOKUP(CoreValuesResults[[#This Row],[Team Number]],RobotDesignResults[Team Number],RobotDesignResults[Iterate - Improvements (CV)])</f>
        <v>0</v>
      </c>
      <c r="K184" s="87">
        <f>_xlfn.XLOOKUP(CoreValuesResults[[#This Row],[Team Number]],RobotDesignResults[Team Number],RobotDesignResults[Communicate - Impact (CV)])</f>
        <v>0</v>
      </c>
      <c r="L184" s="87">
        <f>_xlfn.XLOOKUP(CoreValuesResults[[#This Row],[Team Number]],RobotDesignResults[Team Number],RobotDesignResults[Communicate - Fun (CV)])</f>
        <v>0</v>
      </c>
      <c r="M184" s="17"/>
      <c r="N184" s="17"/>
      <c r="O184" s="17"/>
      <c r="P184" s="17"/>
      <c r="Q184" s="17"/>
      <c r="R184" s="12" t="str">
        <f>IF(CoreValuesResults[[#This Row],[Gracious Professionalism 1]]="","",COUNTIF(CoreValuesResults[[#This Row],[Gracious Professionalism 1]:[Gracious Professionalism 5]],""))</f>
        <v/>
      </c>
      <c r="S184" s="12" t="str">
        <f>IF(CoreValuesResults[[#This Row],[Gracious Professionalism 1]]="","",SUM(CoreValuesResults[[#This Row],[Gracious Professionalism 1]:[Gracious Professionalism 5]]))</f>
        <v/>
      </c>
      <c r="T184"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184" s="83">
        <f>SUM(CoreValuesResults[[#This Row],[Discovery (IP)]:[Fun (RD)]],CoreValuesResults[[#This Row],[Gracious Professionalism Score]])</f>
        <v>0</v>
      </c>
      <c r="V184" s="43">
        <f>IF(CoreValuesResults[[#This Row],[Team Number]]&gt;0,MIN(_xlfn.RANK.EQ(CoreValuesResults[[#This Row],[Core Values Score]],CoreValuesResults[Core Values Score],0),NumberOfTeams),NumberOfTeams+1)</f>
        <v>1</v>
      </c>
      <c r="W184" s="82"/>
      <c r="X184" s="82"/>
      <c r="Y184" s="82"/>
    </row>
    <row r="185" spans="1:25" ht="30" customHeight="1" x14ac:dyDescent="0.45">
      <c r="A185" s="12">
        <f>_xlfn.XLOOKUP(184,OfficialTeamList[Row],OfficialTeamList[Team Number],"ERROR",0)</f>
        <v>0</v>
      </c>
      <c r="B185" s="42" t="str">
        <f>_xlfn.XLOOKUP(CoreValuesResults[[#This Row],[Team Number]],OfficialTeamList[Team Number],OfficialTeamList[Team Name],"",0,)</f>
        <v/>
      </c>
      <c r="C185" s="87">
        <f>_xlfn.XLOOKUP(CoreValuesResults[[#This Row],[Team Number]],InnovationProjectResults[Team Number],InnovationProjectResults[Identify - Research (CV)])</f>
        <v>0</v>
      </c>
      <c r="D185" s="87">
        <f>_xlfn.XLOOKUP(CoreValuesResults[[#This Row],[Team Number]],InnovationProjectResults[Team Number],InnovationProjectResults[Design - Teamwork (CV)])</f>
        <v>0</v>
      </c>
      <c r="E185" s="87">
        <f>_xlfn.XLOOKUP(CoreValuesResults[[#This Row],[Team Number]],InnovationProjectResults[Team Number],InnovationProjectResults[Create - Innovation (CV)])</f>
        <v>0</v>
      </c>
      <c r="F185" s="87">
        <f>_xlfn.XLOOKUP(CoreValuesResults[[#This Row],[Team Number]],InnovationProjectResults[Team Number],InnovationProjectResults[Communicate - Impact (CV)])</f>
        <v>0</v>
      </c>
      <c r="G185" s="87">
        <f>_xlfn.XLOOKUP(CoreValuesResults[[#This Row],[Team Number]],InnovationProjectResults[Team Number],InnovationProjectResults[Communicate - Fun (CV)])</f>
        <v>0</v>
      </c>
      <c r="H185" s="87">
        <f>_xlfn.XLOOKUP(CoreValuesResults[[#This Row],[Team Number]],RobotDesignResults[Team Number],RobotDesignResults[Identify - Research (CV)])</f>
        <v>0</v>
      </c>
      <c r="I185" s="87">
        <f>_xlfn.XLOOKUP(CoreValuesResults[[#This Row],[Team Number]],RobotDesignResults[Team Number],RobotDesignResults[Design - Ideas (CV)])</f>
        <v>0</v>
      </c>
      <c r="J185" s="87">
        <f>_xlfn.XLOOKUP(CoreValuesResults[[#This Row],[Team Number]],RobotDesignResults[Team Number],RobotDesignResults[Iterate - Improvements (CV)])</f>
        <v>0</v>
      </c>
      <c r="K185" s="87">
        <f>_xlfn.XLOOKUP(CoreValuesResults[[#This Row],[Team Number]],RobotDesignResults[Team Number],RobotDesignResults[Communicate - Impact (CV)])</f>
        <v>0</v>
      </c>
      <c r="L185" s="87">
        <f>_xlfn.XLOOKUP(CoreValuesResults[[#This Row],[Team Number]],RobotDesignResults[Team Number],RobotDesignResults[Communicate - Fun (CV)])</f>
        <v>0</v>
      </c>
      <c r="M185" s="17"/>
      <c r="N185" s="17"/>
      <c r="O185" s="17"/>
      <c r="P185" s="17"/>
      <c r="Q185" s="17"/>
      <c r="R185" s="12" t="str">
        <f>IF(CoreValuesResults[[#This Row],[Gracious Professionalism 1]]="","",COUNTIF(CoreValuesResults[[#This Row],[Gracious Professionalism 1]:[Gracious Professionalism 5]],""))</f>
        <v/>
      </c>
      <c r="S185" s="12" t="str">
        <f>IF(CoreValuesResults[[#This Row],[Gracious Professionalism 1]]="","",SUM(CoreValuesResults[[#This Row],[Gracious Professionalism 1]:[Gracious Professionalism 5]]))</f>
        <v/>
      </c>
      <c r="T185"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185" s="83">
        <f>SUM(CoreValuesResults[[#This Row],[Discovery (IP)]:[Fun (RD)]],CoreValuesResults[[#This Row],[Gracious Professionalism Score]])</f>
        <v>0</v>
      </c>
      <c r="V185" s="43">
        <f>IF(CoreValuesResults[[#This Row],[Team Number]]&gt;0,MIN(_xlfn.RANK.EQ(CoreValuesResults[[#This Row],[Core Values Score]],CoreValuesResults[Core Values Score],0),NumberOfTeams),NumberOfTeams+1)</f>
        <v>1</v>
      </c>
      <c r="W185" s="82"/>
      <c r="X185" s="82"/>
      <c r="Y185" s="82"/>
    </row>
    <row r="186" spans="1:25" ht="30" customHeight="1" x14ac:dyDescent="0.45">
      <c r="A186" s="12">
        <f>_xlfn.XLOOKUP(185,OfficialTeamList[Row],OfficialTeamList[Team Number],"ERROR",0)</f>
        <v>0</v>
      </c>
      <c r="B186" s="42" t="str">
        <f>_xlfn.XLOOKUP(CoreValuesResults[[#This Row],[Team Number]],OfficialTeamList[Team Number],OfficialTeamList[Team Name],"",0,)</f>
        <v/>
      </c>
      <c r="C186" s="87">
        <f>_xlfn.XLOOKUP(CoreValuesResults[[#This Row],[Team Number]],InnovationProjectResults[Team Number],InnovationProjectResults[Identify - Research (CV)])</f>
        <v>0</v>
      </c>
      <c r="D186" s="87">
        <f>_xlfn.XLOOKUP(CoreValuesResults[[#This Row],[Team Number]],InnovationProjectResults[Team Number],InnovationProjectResults[Design - Teamwork (CV)])</f>
        <v>0</v>
      </c>
      <c r="E186" s="87">
        <f>_xlfn.XLOOKUP(CoreValuesResults[[#This Row],[Team Number]],InnovationProjectResults[Team Number],InnovationProjectResults[Create - Innovation (CV)])</f>
        <v>0</v>
      </c>
      <c r="F186" s="87">
        <f>_xlfn.XLOOKUP(CoreValuesResults[[#This Row],[Team Number]],InnovationProjectResults[Team Number],InnovationProjectResults[Communicate - Impact (CV)])</f>
        <v>0</v>
      </c>
      <c r="G186" s="87">
        <f>_xlfn.XLOOKUP(CoreValuesResults[[#This Row],[Team Number]],InnovationProjectResults[Team Number],InnovationProjectResults[Communicate - Fun (CV)])</f>
        <v>0</v>
      </c>
      <c r="H186" s="87">
        <f>_xlfn.XLOOKUP(CoreValuesResults[[#This Row],[Team Number]],RobotDesignResults[Team Number],RobotDesignResults[Identify - Research (CV)])</f>
        <v>0</v>
      </c>
      <c r="I186" s="87">
        <f>_xlfn.XLOOKUP(CoreValuesResults[[#This Row],[Team Number]],RobotDesignResults[Team Number],RobotDesignResults[Design - Ideas (CV)])</f>
        <v>0</v>
      </c>
      <c r="J186" s="87">
        <f>_xlfn.XLOOKUP(CoreValuesResults[[#This Row],[Team Number]],RobotDesignResults[Team Number],RobotDesignResults[Iterate - Improvements (CV)])</f>
        <v>0</v>
      </c>
      <c r="K186" s="87">
        <f>_xlfn.XLOOKUP(CoreValuesResults[[#This Row],[Team Number]],RobotDesignResults[Team Number],RobotDesignResults[Communicate - Impact (CV)])</f>
        <v>0</v>
      </c>
      <c r="L186" s="87">
        <f>_xlfn.XLOOKUP(CoreValuesResults[[#This Row],[Team Number]],RobotDesignResults[Team Number],RobotDesignResults[Communicate - Fun (CV)])</f>
        <v>0</v>
      </c>
      <c r="M186" s="17"/>
      <c r="N186" s="17"/>
      <c r="O186" s="17"/>
      <c r="P186" s="17"/>
      <c r="Q186" s="17"/>
      <c r="R186" s="12" t="str">
        <f>IF(CoreValuesResults[[#This Row],[Gracious Professionalism 1]]="","",COUNTIF(CoreValuesResults[[#This Row],[Gracious Professionalism 1]:[Gracious Professionalism 5]],""))</f>
        <v/>
      </c>
      <c r="S186" s="12" t="str">
        <f>IF(CoreValuesResults[[#This Row],[Gracious Professionalism 1]]="","",SUM(CoreValuesResults[[#This Row],[Gracious Professionalism 1]:[Gracious Professionalism 5]]))</f>
        <v/>
      </c>
      <c r="T186"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186" s="83">
        <f>SUM(CoreValuesResults[[#This Row],[Discovery (IP)]:[Fun (RD)]],CoreValuesResults[[#This Row],[Gracious Professionalism Score]])</f>
        <v>0</v>
      </c>
      <c r="V186" s="43">
        <f>IF(CoreValuesResults[[#This Row],[Team Number]]&gt;0,MIN(_xlfn.RANK.EQ(CoreValuesResults[[#This Row],[Core Values Score]],CoreValuesResults[Core Values Score],0),NumberOfTeams),NumberOfTeams+1)</f>
        <v>1</v>
      </c>
      <c r="W186" s="82"/>
      <c r="X186" s="82"/>
      <c r="Y186" s="82"/>
    </row>
    <row r="187" spans="1:25" ht="30" customHeight="1" x14ac:dyDescent="0.45">
      <c r="A187" s="12">
        <f>_xlfn.XLOOKUP(186,OfficialTeamList[Row],OfficialTeamList[Team Number],"ERROR",0)</f>
        <v>0</v>
      </c>
      <c r="B187" s="42" t="str">
        <f>_xlfn.XLOOKUP(CoreValuesResults[[#This Row],[Team Number]],OfficialTeamList[Team Number],OfficialTeamList[Team Name],"",0,)</f>
        <v/>
      </c>
      <c r="C187" s="87">
        <f>_xlfn.XLOOKUP(CoreValuesResults[[#This Row],[Team Number]],InnovationProjectResults[Team Number],InnovationProjectResults[Identify - Research (CV)])</f>
        <v>0</v>
      </c>
      <c r="D187" s="87">
        <f>_xlfn.XLOOKUP(CoreValuesResults[[#This Row],[Team Number]],InnovationProjectResults[Team Number],InnovationProjectResults[Design - Teamwork (CV)])</f>
        <v>0</v>
      </c>
      <c r="E187" s="87">
        <f>_xlfn.XLOOKUP(CoreValuesResults[[#This Row],[Team Number]],InnovationProjectResults[Team Number],InnovationProjectResults[Create - Innovation (CV)])</f>
        <v>0</v>
      </c>
      <c r="F187" s="87">
        <f>_xlfn.XLOOKUP(CoreValuesResults[[#This Row],[Team Number]],InnovationProjectResults[Team Number],InnovationProjectResults[Communicate - Impact (CV)])</f>
        <v>0</v>
      </c>
      <c r="G187" s="87">
        <f>_xlfn.XLOOKUP(CoreValuesResults[[#This Row],[Team Number]],InnovationProjectResults[Team Number],InnovationProjectResults[Communicate - Fun (CV)])</f>
        <v>0</v>
      </c>
      <c r="H187" s="87">
        <f>_xlfn.XLOOKUP(CoreValuesResults[[#This Row],[Team Number]],RobotDesignResults[Team Number],RobotDesignResults[Identify - Research (CV)])</f>
        <v>0</v>
      </c>
      <c r="I187" s="87">
        <f>_xlfn.XLOOKUP(CoreValuesResults[[#This Row],[Team Number]],RobotDesignResults[Team Number],RobotDesignResults[Design - Ideas (CV)])</f>
        <v>0</v>
      </c>
      <c r="J187" s="87">
        <f>_xlfn.XLOOKUP(CoreValuesResults[[#This Row],[Team Number]],RobotDesignResults[Team Number],RobotDesignResults[Iterate - Improvements (CV)])</f>
        <v>0</v>
      </c>
      <c r="K187" s="87">
        <f>_xlfn.XLOOKUP(CoreValuesResults[[#This Row],[Team Number]],RobotDesignResults[Team Number],RobotDesignResults[Communicate - Impact (CV)])</f>
        <v>0</v>
      </c>
      <c r="L187" s="87">
        <f>_xlfn.XLOOKUP(CoreValuesResults[[#This Row],[Team Number]],RobotDesignResults[Team Number],RobotDesignResults[Communicate - Fun (CV)])</f>
        <v>0</v>
      </c>
      <c r="M187" s="17"/>
      <c r="N187" s="17"/>
      <c r="O187" s="17"/>
      <c r="P187" s="17"/>
      <c r="Q187" s="17"/>
      <c r="R187" s="12" t="str">
        <f>IF(CoreValuesResults[[#This Row],[Gracious Professionalism 1]]="","",COUNTIF(CoreValuesResults[[#This Row],[Gracious Professionalism 1]:[Gracious Professionalism 5]],""))</f>
        <v/>
      </c>
      <c r="S187" s="12" t="str">
        <f>IF(CoreValuesResults[[#This Row],[Gracious Professionalism 1]]="","",SUM(CoreValuesResults[[#This Row],[Gracious Professionalism 1]:[Gracious Professionalism 5]]))</f>
        <v/>
      </c>
      <c r="T187"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187" s="83">
        <f>SUM(CoreValuesResults[[#This Row],[Discovery (IP)]:[Fun (RD)]],CoreValuesResults[[#This Row],[Gracious Professionalism Score]])</f>
        <v>0</v>
      </c>
      <c r="V187" s="43">
        <f>IF(CoreValuesResults[[#This Row],[Team Number]]&gt;0,MIN(_xlfn.RANK.EQ(CoreValuesResults[[#This Row],[Core Values Score]],CoreValuesResults[Core Values Score],0),NumberOfTeams),NumberOfTeams+1)</f>
        <v>1</v>
      </c>
      <c r="W187" s="82"/>
      <c r="X187" s="82"/>
      <c r="Y187" s="82"/>
    </row>
    <row r="188" spans="1:25" ht="30" customHeight="1" x14ac:dyDescent="0.45">
      <c r="A188" s="12">
        <f>_xlfn.XLOOKUP(187,OfficialTeamList[Row],OfficialTeamList[Team Number],"ERROR",0)</f>
        <v>0</v>
      </c>
      <c r="B188" s="42" t="str">
        <f>_xlfn.XLOOKUP(CoreValuesResults[[#This Row],[Team Number]],OfficialTeamList[Team Number],OfficialTeamList[Team Name],"",0,)</f>
        <v/>
      </c>
      <c r="C188" s="87">
        <f>_xlfn.XLOOKUP(CoreValuesResults[[#This Row],[Team Number]],InnovationProjectResults[Team Number],InnovationProjectResults[Identify - Research (CV)])</f>
        <v>0</v>
      </c>
      <c r="D188" s="87">
        <f>_xlfn.XLOOKUP(CoreValuesResults[[#This Row],[Team Number]],InnovationProjectResults[Team Number],InnovationProjectResults[Design - Teamwork (CV)])</f>
        <v>0</v>
      </c>
      <c r="E188" s="87">
        <f>_xlfn.XLOOKUP(CoreValuesResults[[#This Row],[Team Number]],InnovationProjectResults[Team Number],InnovationProjectResults[Create - Innovation (CV)])</f>
        <v>0</v>
      </c>
      <c r="F188" s="87">
        <f>_xlfn.XLOOKUP(CoreValuesResults[[#This Row],[Team Number]],InnovationProjectResults[Team Number],InnovationProjectResults[Communicate - Impact (CV)])</f>
        <v>0</v>
      </c>
      <c r="G188" s="87">
        <f>_xlfn.XLOOKUP(CoreValuesResults[[#This Row],[Team Number]],InnovationProjectResults[Team Number],InnovationProjectResults[Communicate - Fun (CV)])</f>
        <v>0</v>
      </c>
      <c r="H188" s="87">
        <f>_xlfn.XLOOKUP(CoreValuesResults[[#This Row],[Team Number]],RobotDesignResults[Team Number],RobotDesignResults[Identify - Research (CV)])</f>
        <v>0</v>
      </c>
      <c r="I188" s="87">
        <f>_xlfn.XLOOKUP(CoreValuesResults[[#This Row],[Team Number]],RobotDesignResults[Team Number],RobotDesignResults[Design - Ideas (CV)])</f>
        <v>0</v>
      </c>
      <c r="J188" s="87">
        <f>_xlfn.XLOOKUP(CoreValuesResults[[#This Row],[Team Number]],RobotDesignResults[Team Number],RobotDesignResults[Iterate - Improvements (CV)])</f>
        <v>0</v>
      </c>
      <c r="K188" s="87">
        <f>_xlfn.XLOOKUP(CoreValuesResults[[#This Row],[Team Number]],RobotDesignResults[Team Number],RobotDesignResults[Communicate - Impact (CV)])</f>
        <v>0</v>
      </c>
      <c r="L188" s="87">
        <f>_xlfn.XLOOKUP(CoreValuesResults[[#This Row],[Team Number]],RobotDesignResults[Team Number],RobotDesignResults[Communicate - Fun (CV)])</f>
        <v>0</v>
      </c>
      <c r="M188" s="17"/>
      <c r="N188" s="17"/>
      <c r="O188" s="17"/>
      <c r="P188" s="17"/>
      <c r="Q188" s="17"/>
      <c r="R188" s="12" t="str">
        <f>IF(CoreValuesResults[[#This Row],[Gracious Professionalism 1]]="","",COUNTIF(CoreValuesResults[[#This Row],[Gracious Professionalism 1]:[Gracious Professionalism 5]],""))</f>
        <v/>
      </c>
      <c r="S188" s="12" t="str">
        <f>IF(CoreValuesResults[[#This Row],[Gracious Professionalism 1]]="","",SUM(CoreValuesResults[[#This Row],[Gracious Professionalism 1]:[Gracious Professionalism 5]]))</f>
        <v/>
      </c>
      <c r="T188"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188" s="83">
        <f>SUM(CoreValuesResults[[#This Row],[Discovery (IP)]:[Fun (RD)]],CoreValuesResults[[#This Row],[Gracious Professionalism Score]])</f>
        <v>0</v>
      </c>
      <c r="V188" s="43">
        <f>IF(CoreValuesResults[[#This Row],[Team Number]]&gt;0,MIN(_xlfn.RANK.EQ(CoreValuesResults[[#This Row],[Core Values Score]],CoreValuesResults[Core Values Score],0),NumberOfTeams),NumberOfTeams+1)</f>
        <v>1</v>
      </c>
      <c r="W188" s="82"/>
      <c r="X188" s="82"/>
      <c r="Y188" s="82"/>
    </row>
    <row r="189" spans="1:25" ht="30" customHeight="1" x14ac:dyDescent="0.45">
      <c r="A189" s="12">
        <f>_xlfn.XLOOKUP(188,OfficialTeamList[Row],OfficialTeamList[Team Number],"ERROR",0)</f>
        <v>0</v>
      </c>
      <c r="B189" s="42" t="str">
        <f>_xlfn.XLOOKUP(CoreValuesResults[[#This Row],[Team Number]],OfficialTeamList[Team Number],OfficialTeamList[Team Name],"",0,)</f>
        <v/>
      </c>
      <c r="C189" s="87">
        <f>_xlfn.XLOOKUP(CoreValuesResults[[#This Row],[Team Number]],InnovationProjectResults[Team Number],InnovationProjectResults[Identify - Research (CV)])</f>
        <v>0</v>
      </c>
      <c r="D189" s="87">
        <f>_xlfn.XLOOKUP(CoreValuesResults[[#This Row],[Team Number]],InnovationProjectResults[Team Number],InnovationProjectResults[Design - Teamwork (CV)])</f>
        <v>0</v>
      </c>
      <c r="E189" s="87">
        <f>_xlfn.XLOOKUP(CoreValuesResults[[#This Row],[Team Number]],InnovationProjectResults[Team Number],InnovationProjectResults[Create - Innovation (CV)])</f>
        <v>0</v>
      </c>
      <c r="F189" s="87">
        <f>_xlfn.XLOOKUP(CoreValuesResults[[#This Row],[Team Number]],InnovationProjectResults[Team Number],InnovationProjectResults[Communicate - Impact (CV)])</f>
        <v>0</v>
      </c>
      <c r="G189" s="87">
        <f>_xlfn.XLOOKUP(CoreValuesResults[[#This Row],[Team Number]],InnovationProjectResults[Team Number],InnovationProjectResults[Communicate - Fun (CV)])</f>
        <v>0</v>
      </c>
      <c r="H189" s="87">
        <f>_xlfn.XLOOKUP(CoreValuesResults[[#This Row],[Team Number]],RobotDesignResults[Team Number],RobotDesignResults[Identify - Research (CV)])</f>
        <v>0</v>
      </c>
      <c r="I189" s="87">
        <f>_xlfn.XLOOKUP(CoreValuesResults[[#This Row],[Team Number]],RobotDesignResults[Team Number],RobotDesignResults[Design - Ideas (CV)])</f>
        <v>0</v>
      </c>
      <c r="J189" s="87">
        <f>_xlfn.XLOOKUP(CoreValuesResults[[#This Row],[Team Number]],RobotDesignResults[Team Number],RobotDesignResults[Iterate - Improvements (CV)])</f>
        <v>0</v>
      </c>
      <c r="K189" s="87">
        <f>_xlfn.XLOOKUP(CoreValuesResults[[#This Row],[Team Number]],RobotDesignResults[Team Number],RobotDesignResults[Communicate - Impact (CV)])</f>
        <v>0</v>
      </c>
      <c r="L189" s="87">
        <f>_xlfn.XLOOKUP(CoreValuesResults[[#This Row],[Team Number]],RobotDesignResults[Team Number],RobotDesignResults[Communicate - Fun (CV)])</f>
        <v>0</v>
      </c>
      <c r="M189" s="17"/>
      <c r="N189" s="17"/>
      <c r="O189" s="17"/>
      <c r="P189" s="17"/>
      <c r="Q189" s="17"/>
      <c r="R189" s="12" t="str">
        <f>IF(CoreValuesResults[[#This Row],[Gracious Professionalism 1]]="","",COUNTIF(CoreValuesResults[[#This Row],[Gracious Professionalism 1]:[Gracious Professionalism 5]],""))</f>
        <v/>
      </c>
      <c r="S189" s="12" t="str">
        <f>IF(CoreValuesResults[[#This Row],[Gracious Professionalism 1]]="","",SUM(CoreValuesResults[[#This Row],[Gracious Professionalism 1]:[Gracious Professionalism 5]]))</f>
        <v/>
      </c>
      <c r="T189"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189" s="83">
        <f>SUM(CoreValuesResults[[#This Row],[Discovery (IP)]:[Fun (RD)]],CoreValuesResults[[#This Row],[Gracious Professionalism Score]])</f>
        <v>0</v>
      </c>
      <c r="V189" s="43">
        <f>IF(CoreValuesResults[[#This Row],[Team Number]]&gt;0,MIN(_xlfn.RANK.EQ(CoreValuesResults[[#This Row],[Core Values Score]],CoreValuesResults[Core Values Score],0),NumberOfTeams),NumberOfTeams+1)</f>
        <v>1</v>
      </c>
      <c r="W189" s="82"/>
      <c r="X189" s="82"/>
      <c r="Y189" s="82"/>
    </row>
    <row r="190" spans="1:25" ht="30" customHeight="1" x14ac:dyDescent="0.45">
      <c r="A190" s="12">
        <f>_xlfn.XLOOKUP(189,OfficialTeamList[Row],OfficialTeamList[Team Number],"ERROR",0)</f>
        <v>0</v>
      </c>
      <c r="B190" s="42" t="str">
        <f>_xlfn.XLOOKUP(CoreValuesResults[[#This Row],[Team Number]],OfficialTeamList[Team Number],OfficialTeamList[Team Name],"",0,)</f>
        <v/>
      </c>
      <c r="C190" s="87">
        <f>_xlfn.XLOOKUP(CoreValuesResults[[#This Row],[Team Number]],InnovationProjectResults[Team Number],InnovationProjectResults[Identify - Research (CV)])</f>
        <v>0</v>
      </c>
      <c r="D190" s="87">
        <f>_xlfn.XLOOKUP(CoreValuesResults[[#This Row],[Team Number]],InnovationProjectResults[Team Number],InnovationProjectResults[Design - Teamwork (CV)])</f>
        <v>0</v>
      </c>
      <c r="E190" s="87">
        <f>_xlfn.XLOOKUP(CoreValuesResults[[#This Row],[Team Number]],InnovationProjectResults[Team Number],InnovationProjectResults[Create - Innovation (CV)])</f>
        <v>0</v>
      </c>
      <c r="F190" s="87">
        <f>_xlfn.XLOOKUP(CoreValuesResults[[#This Row],[Team Number]],InnovationProjectResults[Team Number],InnovationProjectResults[Communicate - Impact (CV)])</f>
        <v>0</v>
      </c>
      <c r="G190" s="87">
        <f>_xlfn.XLOOKUP(CoreValuesResults[[#This Row],[Team Number]],InnovationProjectResults[Team Number],InnovationProjectResults[Communicate - Fun (CV)])</f>
        <v>0</v>
      </c>
      <c r="H190" s="87">
        <f>_xlfn.XLOOKUP(CoreValuesResults[[#This Row],[Team Number]],RobotDesignResults[Team Number],RobotDesignResults[Identify - Research (CV)])</f>
        <v>0</v>
      </c>
      <c r="I190" s="87">
        <f>_xlfn.XLOOKUP(CoreValuesResults[[#This Row],[Team Number]],RobotDesignResults[Team Number],RobotDesignResults[Design - Ideas (CV)])</f>
        <v>0</v>
      </c>
      <c r="J190" s="87">
        <f>_xlfn.XLOOKUP(CoreValuesResults[[#This Row],[Team Number]],RobotDesignResults[Team Number],RobotDesignResults[Iterate - Improvements (CV)])</f>
        <v>0</v>
      </c>
      <c r="K190" s="87">
        <f>_xlfn.XLOOKUP(CoreValuesResults[[#This Row],[Team Number]],RobotDesignResults[Team Number],RobotDesignResults[Communicate - Impact (CV)])</f>
        <v>0</v>
      </c>
      <c r="L190" s="87">
        <f>_xlfn.XLOOKUP(CoreValuesResults[[#This Row],[Team Number]],RobotDesignResults[Team Number],RobotDesignResults[Communicate - Fun (CV)])</f>
        <v>0</v>
      </c>
      <c r="M190" s="17"/>
      <c r="N190" s="17"/>
      <c r="O190" s="17"/>
      <c r="P190" s="17"/>
      <c r="Q190" s="17"/>
      <c r="R190" s="12" t="str">
        <f>IF(CoreValuesResults[[#This Row],[Gracious Professionalism 1]]="","",COUNTIF(CoreValuesResults[[#This Row],[Gracious Professionalism 1]:[Gracious Professionalism 5]],""))</f>
        <v/>
      </c>
      <c r="S190" s="12" t="str">
        <f>IF(CoreValuesResults[[#This Row],[Gracious Professionalism 1]]="","",SUM(CoreValuesResults[[#This Row],[Gracious Professionalism 1]:[Gracious Professionalism 5]]))</f>
        <v/>
      </c>
      <c r="T190"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190" s="83">
        <f>SUM(CoreValuesResults[[#This Row],[Discovery (IP)]:[Fun (RD)]],CoreValuesResults[[#This Row],[Gracious Professionalism Score]])</f>
        <v>0</v>
      </c>
      <c r="V190" s="43">
        <f>IF(CoreValuesResults[[#This Row],[Team Number]]&gt;0,MIN(_xlfn.RANK.EQ(CoreValuesResults[[#This Row],[Core Values Score]],CoreValuesResults[Core Values Score],0),NumberOfTeams),NumberOfTeams+1)</f>
        <v>1</v>
      </c>
      <c r="W190" s="82"/>
      <c r="X190" s="82"/>
      <c r="Y190" s="82"/>
    </row>
    <row r="191" spans="1:25" ht="30" customHeight="1" x14ac:dyDescent="0.45">
      <c r="A191" s="12">
        <f>_xlfn.XLOOKUP(190,OfficialTeamList[Row],OfficialTeamList[Team Number],"ERROR",0)</f>
        <v>0</v>
      </c>
      <c r="B191" s="42" t="str">
        <f>_xlfn.XLOOKUP(CoreValuesResults[[#This Row],[Team Number]],OfficialTeamList[Team Number],OfficialTeamList[Team Name],"",0,)</f>
        <v/>
      </c>
      <c r="C191" s="87">
        <f>_xlfn.XLOOKUP(CoreValuesResults[[#This Row],[Team Number]],InnovationProjectResults[Team Number],InnovationProjectResults[Identify - Research (CV)])</f>
        <v>0</v>
      </c>
      <c r="D191" s="87">
        <f>_xlfn.XLOOKUP(CoreValuesResults[[#This Row],[Team Number]],InnovationProjectResults[Team Number],InnovationProjectResults[Design - Teamwork (CV)])</f>
        <v>0</v>
      </c>
      <c r="E191" s="87">
        <f>_xlfn.XLOOKUP(CoreValuesResults[[#This Row],[Team Number]],InnovationProjectResults[Team Number],InnovationProjectResults[Create - Innovation (CV)])</f>
        <v>0</v>
      </c>
      <c r="F191" s="87">
        <f>_xlfn.XLOOKUP(CoreValuesResults[[#This Row],[Team Number]],InnovationProjectResults[Team Number],InnovationProjectResults[Communicate - Impact (CV)])</f>
        <v>0</v>
      </c>
      <c r="G191" s="87">
        <f>_xlfn.XLOOKUP(CoreValuesResults[[#This Row],[Team Number]],InnovationProjectResults[Team Number],InnovationProjectResults[Communicate - Fun (CV)])</f>
        <v>0</v>
      </c>
      <c r="H191" s="87">
        <f>_xlfn.XLOOKUP(CoreValuesResults[[#This Row],[Team Number]],RobotDesignResults[Team Number],RobotDesignResults[Identify - Research (CV)])</f>
        <v>0</v>
      </c>
      <c r="I191" s="87">
        <f>_xlfn.XLOOKUP(CoreValuesResults[[#This Row],[Team Number]],RobotDesignResults[Team Number],RobotDesignResults[Design - Ideas (CV)])</f>
        <v>0</v>
      </c>
      <c r="J191" s="87">
        <f>_xlfn.XLOOKUP(CoreValuesResults[[#This Row],[Team Number]],RobotDesignResults[Team Number],RobotDesignResults[Iterate - Improvements (CV)])</f>
        <v>0</v>
      </c>
      <c r="K191" s="87">
        <f>_xlfn.XLOOKUP(CoreValuesResults[[#This Row],[Team Number]],RobotDesignResults[Team Number],RobotDesignResults[Communicate - Impact (CV)])</f>
        <v>0</v>
      </c>
      <c r="L191" s="87">
        <f>_xlfn.XLOOKUP(CoreValuesResults[[#This Row],[Team Number]],RobotDesignResults[Team Number],RobotDesignResults[Communicate - Fun (CV)])</f>
        <v>0</v>
      </c>
      <c r="M191" s="17"/>
      <c r="N191" s="17"/>
      <c r="O191" s="17"/>
      <c r="P191" s="17"/>
      <c r="Q191" s="17"/>
      <c r="R191" s="12" t="str">
        <f>IF(CoreValuesResults[[#This Row],[Gracious Professionalism 1]]="","",COUNTIF(CoreValuesResults[[#This Row],[Gracious Professionalism 1]:[Gracious Professionalism 5]],""))</f>
        <v/>
      </c>
      <c r="S191" s="12" t="str">
        <f>IF(CoreValuesResults[[#This Row],[Gracious Professionalism 1]]="","",SUM(CoreValuesResults[[#This Row],[Gracious Professionalism 1]:[Gracious Professionalism 5]]))</f>
        <v/>
      </c>
      <c r="T191"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191" s="83">
        <f>SUM(CoreValuesResults[[#This Row],[Discovery (IP)]:[Fun (RD)]],CoreValuesResults[[#This Row],[Gracious Professionalism Score]])</f>
        <v>0</v>
      </c>
      <c r="V191" s="43">
        <f>IF(CoreValuesResults[[#This Row],[Team Number]]&gt;0,MIN(_xlfn.RANK.EQ(CoreValuesResults[[#This Row],[Core Values Score]],CoreValuesResults[Core Values Score],0),NumberOfTeams),NumberOfTeams+1)</f>
        <v>1</v>
      </c>
      <c r="W191" s="82"/>
      <c r="X191" s="82"/>
      <c r="Y191" s="82"/>
    </row>
    <row r="192" spans="1:25" ht="30" customHeight="1" x14ac:dyDescent="0.45">
      <c r="A192" s="12">
        <f>_xlfn.XLOOKUP(191,OfficialTeamList[Row],OfficialTeamList[Team Number],"ERROR",0)</f>
        <v>0</v>
      </c>
      <c r="B192" s="42" t="str">
        <f>_xlfn.XLOOKUP(CoreValuesResults[[#This Row],[Team Number]],OfficialTeamList[Team Number],OfficialTeamList[Team Name],"",0,)</f>
        <v/>
      </c>
      <c r="C192" s="87">
        <f>_xlfn.XLOOKUP(CoreValuesResults[[#This Row],[Team Number]],InnovationProjectResults[Team Number],InnovationProjectResults[Identify - Research (CV)])</f>
        <v>0</v>
      </c>
      <c r="D192" s="87">
        <f>_xlfn.XLOOKUP(CoreValuesResults[[#This Row],[Team Number]],InnovationProjectResults[Team Number],InnovationProjectResults[Design - Teamwork (CV)])</f>
        <v>0</v>
      </c>
      <c r="E192" s="87">
        <f>_xlfn.XLOOKUP(CoreValuesResults[[#This Row],[Team Number]],InnovationProjectResults[Team Number],InnovationProjectResults[Create - Innovation (CV)])</f>
        <v>0</v>
      </c>
      <c r="F192" s="87">
        <f>_xlfn.XLOOKUP(CoreValuesResults[[#This Row],[Team Number]],InnovationProjectResults[Team Number],InnovationProjectResults[Communicate - Impact (CV)])</f>
        <v>0</v>
      </c>
      <c r="G192" s="87">
        <f>_xlfn.XLOOKUP(CoreValuesResults[[#This Row],[Team Number]],InnovationProjectResults[Team Number],InnovationProjectResults[Communicate - Fun (CV)])</f>
        <v>0</v>
      </c>
      <c r="H192" s="87">
        <f>_xlfn.XLOOKUP(CoreValuesResults[[#This Row],[Team Number]],RobotDesignResults[Team Number],RobotDesignResults[Identify - Research (CV)])</f>
        <v>0</v>
      </c>
      <c r="I192" s="87">
        <f>_xlfn.XLOOKUP(CoreValuesResults[[#This Row],[Team Number]],RobotDesignResults[Team Number],RobotDesignResults[Design - Ideas (CV)])</f>
        <v>0</v>
      </c>
      <c r="J192" s="87">
        <f>_xlfn.XLOOKUP(CoreValuesResults[[#This Row],[Team Number]],RobotDesignResults[Team Number],RobotDesignResults[Iterate - Improvements (CV)])</f>
        <v>0</v>
      </c>
      <c r="K192" s="87">
        <f>_xlfn.XLOOKUP(CoreValuesResults[[#This Row],[Team Number]],RobotDesignResults[Team Number],RobotDesignResults[Communicate - Impact (CV)])</f>
        <v>0</v>
      </c>
      <c r="L192" s="87">
        <f>_xlfn.XLOOKUP(CoreValuesResults[[#This Row],[Team Number]],RobotDesignResults[Team Number],RobotDesignResults[Communicate - Fun (CV)])</f>
        <v>0</v>
      </c>
      <c r="M192" s="17"/>
      <c r="N192" s="17"/>
      <c r="O192" s="17"/>
      <c r="P192" s="17"/>
      <c r="Q192" s="17"/>
      <c r="R192" s="12" t="str">
        <f>IF(CoreValuesResults[[#This Row],[Gracious Professionalism 1]]="","",COUNTIF(CoreValuesResults[[#This Row],[Gracious Professionalism 1]:[Gracious Professionalism 5]],""))</f>
        <v/>
      </c>
      <c r="S192" s="12" t="str">
        <f>IF(CoreValuesResults[[#This Row],[Gracious Professionalism 1]]="","",SUM(CoreValuesResults[[#This Row],[Gracious Professionalism 1]:[Gracious Professionalism 5]]))</f>
        <v/>
      </c>
      <c r="T192"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192" s="83">
        <f>SUM(CoreValuesResults[[#This Row],[Discovery (IP)]:[Fun (RD)]],CoreValuesResults[[#This Row],[Gracious Professionalism Score]])</f>
        <v>0</v>
      </c>
      <c r="V192" s="43">
        <f>IF(CoreValuesResults[[#This Row],[Team Number]]&gt;0,MIN(_xlfn.RANK.EQ(CoreValuesResults[[#This Row],[Core Values Score]],CoreValuesResults[Core Values Score],0),NumberOfTeams),NumberOfTeams+1)</f>
        <v>1</v>
      </c>
      <c r="W192" s="82"/>
      <c r="X192" s="82"/>
      <c r="Y192" s="82"/>
    </row>
    <row r="193" spans="1:25" ht="30" customHeight="1" x14ac:dyDescent="0.45">
      <c r="A193" s="12">
        <f>_xlfn.XLOOKUP(192,OfficialTeamList[Row],OfficialTeamList[Team Number],"ERROR",0)</f>
        <v>0</v>
      </c>
      <c r="B193" s="42" t="str">
        <f>_xlfn.XLOOKUP(CoreValuesResults[[#This Row],[Team Number]],OfficialTeamList[Team Number],OfficialTeamList[Team Name],"",0,)</f>
        <v/>
      </c>
      <c r="C193" s="87">
        <f>_xlfn.XLOOKUP(CoreValuesResults[[#This Row],[Team Number]],InnovationProjectResults[Team Number],InnovationProjectResults[Identify - Research (CV)])</f>
        <v>0</v>
      </c>
      <c r="D193" s="87">
        <f>_xlfn.XLOOKUP(CoreValuesResults[[#This Row],[Team Number]],InnovationProjectResults[Team Number],InnovationProjectResults[Design - Teamwork (CV)])</f>
        <v>0</v>
      </c>
      <c r="E193" s="87">
        <f>_xlfn.XLOOKUP(CoreValuesResults[[#This Row],[Team Number]],InnovationProjectResults[Team Number],InnovationProjectResults[Create - Innovation (CV)])</f>
        <v>0</v>
      </c>
      <c r="F193" s="87">
        <f>_xlfn.XLOOKUP(CoreValuesResults[[#This Row],[Team Number]],InnovationProjectResults[Team Number],InnovationProjectResults[Communicate - Impact (CV)])</f>
        <v>0</v>
      </c>
      <c r="G193" s="87">
        <f>_xlfn.XLOOKUP(CoreValuesResults[[#This Row],[Team Number]],InnovationProjectResults[Team Number],InnovationProjectResults[Communicate - Fun (CV)])</f>
        <v>0</v>
      </c>
      <c r="H193" s="87">
        <f>_xlfn.XLOOKUP(CoreValuesResults[[#This Row],[Team Number]],RobotDesignResults[Team Number],RobotDesignResults[Identify - Research (CV)])</f>
        <v>0</v>
      </c>
      <c r="I193" s="87">
        <f>_xlfn.XLOOKUP(CoreValuesResults[[#This Row],[Team Number]],RobotDesignResults[Team Number],RobotDesignResults[Design - Ideas (CV)])</f>
        <v>0</v>
      </c>
      <c r="J193" s="87">
        <f>_xlfn.XLOOKUP(CoreValuesResults[[#This Row],[Team Number]],RobotDesignResults[Team Number],RobotDesignResults[Iterate - Improvements (CV)])</f>
        <v>0</v>
      </c>
      <c r="K193" s="87">
        <f>_xlfn.XLOOKUP(CoreValuesResults[[#This Row],[Team Number]],RobotDesignResults[Team Number],RobotDesignResults[Communicate - Impact (CV)])</f>
        <v>0</v>
      </c>
      <c r="L193" s="87">
        <f>_xlfn.XLOOKUP(CoreValuesResults[[#This Row],[Team Number]],RobotDesignResults[Team Number],RobotDesignResults[Communicate - Fun (CV)])</f>
        <v>0</v>
      </c>
      <c r="M193" s="17"/>
      <c r="N193" s="17"/>
      <c r="O193" s="17"/>
      <c r="P193" s="17"/>
      <c r="Q193" s="17"/>
      <c r="R193" s="12" t="str">
        <f>IF(CoreValuesResults[[#This Row],[Gracious Professionalism 1]]="","",COUNTIF(CoreValuesResults[[#This Row],[Gracious Professionalism 1]:[Gracious Professionalism 5]],""))</f>
        <v/>
      </c>
      <c r="S193" s="12" t="str">
        <f>IF(CoreValuesResults[[#This Row],[Gracious Professionalism 1]]="","",SUM(CoreValuesResults[[#This Row],[Gracious Professionalism 1]:[Gracious Professionalism 5]]))</f>
        <v/>
      </c>
      <c r="T193"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193" s="83">
        <f>SUM(CoreValuesResults[[#This Row],[Discovery (IP)]:[Fun (RD)]],CoreValuesResults[[#This Row],[Gracious Professionalism Score]])</f>
        <v>0</v>
      </c>
      <c r="V193" s="43">
        <f>IF(CoreValuesResults[[#This Row],[Team Number]]&gt;0,MIN(_xlfn.RANK.EQ(CoreValuesResults[[#This Row],[Core Values Score]],CoreValuesResults[Core Values Score],0),NumberOfTeams),NumberOfTeams+1)</f>
        <v>1</v>
      </c>
      <c r="W193" s="82"/>
      <c r="X193" s="82"/>
      <c r="Y193" s="82"/>
    </row>
    <row r="194" spans="1:25" ht="30" customHeight="1" x14ac:dyDescent="0.45">
      <c r="A194" s="12">
        <f>_xlfn.XLOOKUP(193,OfficialTeamList[Row],OfficialTeamList[Team Number],"ERROR",0)</f>
        <v>0</v>
      </c>
      <c r="B194" s="42" t="str">
        <f>_xlfn.XLOOKUP(CoreValuesResults[[#This Row],[Team Number]],OfficialTeamList[Team Number],OfficialTeamList[Team Name],"",0,)</f>
        <v/>
      </c>
      <c r="C194" s="87">
        <f>_xlfn.XLOOKUP(CoreValuesResults[[#This Row],[Team Number]],InnovationProjectResults[Team Number],InnovationProjectResults[Identify - Research (CV)])</f>
        <v>0</v>
      </c>
      <c r="D194" s="87">
        <f>_xlfn.XLOOKUP(CoreValuesResults[[#This Row],[Team Number]],InnovationProjectResults[Team Number],InnovationProjectResults[Design - Teamwork (CV)])</f>
        <v>0</v>
      </c>
      <c r="E194" s="87">
        <f>_xlfn.XLOOKUP(CoreValuesResults[[#This Row],[Team Number]],InnovationProjectResults[Team Number],InnovationProjectResults[Create - Innovation (CV)])</f>
        <v>0</v>
      </c>
      <c r="F194" s="87">
        <f>_xlfn.XLOOKUP(CoreValuesResults[[#This Row],[Team Number]],InnovationProjectResults[Team Number],InnovationProjectResults[Communicate - Impact (CV)])</f>
        <v>0</v>
      </c>
      <c r="G194" s="87">
        <f>_xlfn.XLOOKUP(CoreValuesResults[[#This Row],[Team Number]],InnovationProjectResults[Team Number],InnovationProjectResults[Communicate - Fun (CV)])</f>
        <v>0</v>
      </c>
      <c r="H194" s="87">
        <f>_xlfn.XLOOKUP(CoreValuesResults[[#This Row],[Team Number]],RobotDesignResults[Team Number],RobotDesignResults[Identify - Research (CV)])</f>
        <v>0</v>
      </c>
      <c r="I194" s="87">
        <f>_xlfn.XLOOKUP(CoreValuesResults[[#This Row],[Team Number]],RobotDesignResults[Team Number],RobotDesignResults[Design - Ideas (CV)])</f>
        <v>0</v>
      </c>
      <c r="J194" s="87">
        <f>_xlfn.XLOOKUP(CoreValuesResults[[#This Row],[Team Number]],RobotDesignResults[Team Number],RobotDesignResults[Iterate - Improvements (CV)])</f>
        <v>0</v>
      </c>
      <c r="K194" s="87">
        <f>_xlfn.XLOOKUP(CoreValuesResults[[#This Row],[Team Number]],RobotDesignResults[Team Number],RobotDesignResults[Communicate - Impact (CV)])</f>
        <v>0</v>
      </c>
      <c r="L194" s="87">
        <f>_xlfn.XLOOKUP(CoreValuesResults[[#This Row],[Team Number]],RobotDesignResults[Team Number],RobotDesignResults[Communicate - Fun (CV)])</f>
        <v>0</v>
      </c>
      <c r="M194" s="17"/>
      <c r="N194" s="17"/>
      <c r="O194" s="17"/>
      <c r="P194" s="17"/>
      <c r="Q194" s="17"/>
      <c r="R194" s="12" t="str">
        <f>IF(CoreValuesResults[[#This Row],[Gracious Professionalism 1]]="","",COUNTIF(CoreValuesResults[[#This Row],[Gracious Professionalism 1]:[Gracious Professionalism 5]],""))</f>
        <v/>
      </c>
      <c r="S194" s="12" t="str">
        <f>IF(CoreValuesResults[[#This Row],[Gracious Professionalism 1]]="","",SUM(CoreValuesResults[[#This Row],[Gracious Professionalism 1]:[Gracious Professionalism 5]]))</f>
        <v/>
      </c>
      <c r="T194"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194" s="83">
        <f>SUM(CoreValuesResults[[#This Row],[Discovery (IP)]:[Fun (RD)]],CoreValuesResults[[#This Row],[Gracious Professionalism Score]])</f>
        <v>0</v>
      </c>
      <c r="V194" s="43">
        <f>IF(CoreValuesResults[[#This Row],[Team Number]]&gt;0,MIN(_xlfn.RANK.EQ(CoreValuesResults[[#This Row],[Core Values Score]],CoreValuesResults[Core Values Score],0),NumberOfTeams),NumberOfTeams+1)</f>
        <v>1</v>
      </c>
      <c r="W194" s="82"/>
      <c r="X194" s="82"/>
      <c r="Y194" s="82"/>
    </row>
    <row r="195" spans="1:25" ht="30" customHeight="1" x14ac:dyDescent="0.45">
      <c r="A195" s="12">
        <f>_xlfn.XLOOKUP(194,OfficialTeamList[Row],OfficialTeamList[Team Number],"ERROR",0)</f>
        <v>0</v>
      </c>
      <c r="B195" s="42" t="str">
        <f>_xlfn.XLOOKUP(CoreValuesResults[[#This Row],[Team Number]],OfficialTeamList[Team Number],OfficialTeamList[Team Name],"",0,)</f>
        <v/>
      </c>
      <c r="C195" s="87">
        <f>_xlfn.XLOOKUP(CoreValuesResults[[#This Row],[Team Number]],InnovationProjectResults[Team Number],InnovationProjectResults[Identify - Research (CV)])</f>
        <v>0</v>
      </c>
      <c r="D195" s="87">
        <f>_xlfn.XLOOKUP(CoreValuesResults[[#This Row],[Team Number]],InnovationProjectResults[Team Number],InnovationProjectResults[Design - Teamwork (CV)])</f>
        <v>0</v>
      </c>
      <c r="E195" s="87">
        <f>_xlfn.XLOOKUP(CoreValuesResults[[#This Row],[Team Number]],InnovationProjectResults[Team Number],InnovationProjectResults[Create - Innovation (CV)])</f>
        <v>0</v>
      </c>
      <c r="F195" s="87">
        <f>_xlfn.XLOOKUP(CoreValuesResults[[#This Row],[Team Number]],InnovationProjectResults[Team Number],InnovationProjectResults[Communicate - Impact (CV)])</f>
        <v>0</v>
      </c>
      <c r="G195" s="87">
        <f>_xlfn.XLOOKUP(CoreValuesResults[[#This Row],[Team Number]],InnovationProjectResults[Team Number],InnovationProjectResults[Communicate - Fun (CV)])</f>
        <v>0</v>
      </c>
      <c r="H195" s="87">
        <f>_xlfn.XLOOKUP(CoreValuesResults[[#This Row],[Team Number]],RobotDesignResults[Team Number],RobotDesignResults[Identify - Research (CV)])</f>
        <v>0</v>
      </c>
      <c r="I195" s="87">
        <f>_xlfn.XLOOKUP(CoreValuesResults[[#This Row],[Team Number]],RobotDesignResults[Team Number],RobotDesignResults[Design - Ideas (CV)])</f>
        <v>0</v>
      </c>
      <c r="J195" s="87">
        <f>_xlfn.XLOOKUP(CoreValuesResults[[#This Row],[Team Number]],RobotDesignResults[Team Number],RobotDesignResults[Iterate - Improvements (CV)])</f>
        <v>0</v>
      </c>
      <c r="K195" s="87">
        <f>_xlfn.XLOOKUP(CoreValuesResults[[#This Row],[Team Number]],RobotDesignResults[Team Number],RobotDesignResults[Communicate - Impact (CV)])</f>
        <v>0</v>
      </c>
      <c r="L195" s="87">
        <f>_xlfn.XLOOKUP(CoreValuesResults[[#This Row],[Team Number]],RobotDesignResults[Team Number],RobotDesignResults[Communicate - Fun (CV)])</f>
        <v>0</v>
      </c>
      <c r="M195" s="17"/>
      <c r="N195" s="17"/>
      <c r="O195" s="17"/>
      <c r="P195" s="17"/>
      <c r="Q195" s="17"/>
      <c r="R195" s="12" t="str">
        <f>IF(CoreValuesResults[[#This Row],[Gracious Professionalism 1]]="","",COUNTIF(CoreValuesResults[[#This Row],[Gracious Professionalism 1]:[Gracious Professionalism 5]],""))</f>
        <v/>
      </c>
      <c r="S195" s="12" t="str">
        <f>IF(CoreValuesResults[[#This Row],[Gracious Professionalism 1]]="","",SUM(CoreValuesResults[[#This Row],[Gracious Professionalism 1]:[Gracious Professionalism 5]]))</f>
        <v/>
      </c>
      <c r="T195"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195" s="83">
        <f>SUM(CoreValuesResults[[#This Row],[Discovery (IP)]:[Fun (RD)]],CoreValuesResults[[#This Row],[Gracious Professionalism Score]])</f>
        <v>0</v>
      </c>
      <c r="V195" s="43">
        <f>IF(CoreValuesResults[[#This Row],[Team Number]]&gt;0,MIN(_xlfn.RANK.EQ(CoreValuesResults[[#This Row],[Core Values Score]],CoreValuesResults[Core Values Score],0),NumberOfTeams),NumberOfTeams+1)</f>
        <v>1</v>
      </c>
      <c r="W195" s="82"/>
      <c r="X195" s="82"/>
      <c r="Y195" s="82"/>
    </row>
    <row r="196" spans="1:25" ht="30" customHeight="1" x14ac:dyDescent="0.45">
      <c r="A196" s="12">
        <f>_xlfn.XLOOKUP(195,OfficialTeamList[Row],OfficialTeamList[Team Number],"ERROR",0)</f>
        <v>0</v>
      </c>
      <c r="B196" s="42" t="str">
        <f>_xlfn.XLOOKUP(CoreValuesResults[[#This Row],[Team Number]],OfficialTeamList[Team Number],OfficialTeamList[Team Name],"",0,)</f>
        <v/>
      </c>
      <c r="C196" s="87">
        <f>_xlfn.XLOOKUP(CoreValuesResults[[#This Row],[Team Number]],InnovationProjectResults[Team Number],InnovationProjectResults[Identify - Research (CV)])</f>
        <v>0</v>
      </c>
      <c r="D196" s="87">
        <f>_xlfn.XLOOKUP(CoreValuesResults[[#This Row],[Team Number]],InnovationProjectResults[Team Number],InnovationProjectResults[Design - Teamwork (CV)])</f>
        <v>0</v>
      </c>
      <c r="E196" s="87">
        <f>_xlfn.XLOOKUP(CoreValuesResults[[#This Row],[Team Number]],InnovationProjectResults[Team Number],InnovationProjectResults[Create - Innovation (CV)])</f>
        <v>0</v>
      </c>
      <c r="F196" s="87">
        <f>_xlfn.XLOOKUP(CoreValuesResults[[#This Row],[Team Number]],InnovationProjectResults[Team Number],InnovationProjectResults[Communicate - Impact (CV)])</f>
        <v>0</v>
      </c>
      <c r="G196" s="87">
        <f>_xlfn.XLOOKUP(CoreValuesResults[[#This Row],[Team Number]],InnovationProjectResults[Team Number],InnovationProjectResults[Communicate - Fun (CV)])</f>
        <v>0</v>
      </c>
      <c r="H196" s="87">
        <f>_xlfn.XLOOKUP(CoreValuesResults[[#This Row],[Team Number]],RobotDesignResults[Team Number],RobotDesignResults[Identify - Research (CV)])</f>
        <v>0</v>
      </c>
      <c r="I196" s="87">
        <f>_xlfn.XLOOKUP(CoreValuesResults[[#This Row],[Team Number]],RobotDesignResults[Team Number],RobotDesignResults[Design - Ideas (CV)])</f>
        <v>0</v>
      </c>
      <c r="J196" s="87">
        <f>_xlfn.XLOOKUP(CoreValuesResults[[#This Row],[Team Number]],RobotDesignResults[Team Number],RobotDesignResults[Iterate - Improvements (CV)])</f>
        <v>0</v>
      </c>
      <c r="K196" s="87">
        <f>_xlfn.XLOOKUP(CoreValuesResults[[#This Row],[Team Number]],RobotDesignResults[Team Number],RobotDesignResults[Communicate - Impact (CV)])</f>
        <v>0</v>
      </c>
      <c r="L196" s="87">
        <f>_xlfn.XLOOKUP(CoreValuesResults[[#This Row],[Team Number]],RobotDesignResults[Team Number],RobotDesignResults[Communicate - Fun (CV)])</f>
        <v>0</v>
      </c>
      <c r="M196" s="17"/>
      <c r="N196" s="17"/>
      <c r="O196" s="17"/>
      <c r="P196" s="17"/>
      <c r="Q196" s="17"/>
      <c r="R196" s="12" t="str">
        <f>IF(CoreValuesResults[[#This Row],[Gracious Professionalism 1]]="","",COUNTIF(CoreValuesResults[[#This Row],[Gracious Professionalism 1]:[Gracious Professionalism 5]],""))</f>
        <v/>
      </c>
      <c r="S196" s="12" t="str">
        <f>IF(CoreValuesResults[[#This Row],[Gracious Professionalism 1]]="","",SUM(CoreValuesResults[[#This Row],[Gracious Professionalism 1]:[Gracious Professionalism 5]]))</f>
        <v/>
      </c>
      <c r="T196"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196" s="83">
        <f>SUM(CoreValuesResults[[#This Row],[Discovery (IP)]:[Fun (RD)]],CoreValuesResults[[#This Row],[Gracious Professionalism Score]])</f>
        <v>0</v>
      </c>
      <c r="V196" s="43">
        <f>IF(CoreValuesResults[[#This Row],[Team Number]]&gt;0,MIN(_xlfn.RANK.EQ(CoreValuesResults[[#This Row],[Core Values Score]],CoreValuesResults[Core Values Score],0),NumberOfTeams),NumberOfTeams+1)</f>
        <v>1</v>
      </c>
      <c r="W196" s="82"/>
      <c r="X196" s="82"/>
      <c r="Y196" s="82"/>
    </row>
    <row r="197" spans="1:25" ht="30" customHeight="1" x14ac:dyDescent="0.45">
      <c r="A197" s="12">
        <f>_xlfn.XLOOKUP(196,OfficialTeamList[Row],OfficialTeamList[Team Number],"ERROR",0)</f>
        <v>0</v>
      </c>
      <c r="B197" s="42" t="str">
        <f>_xlfn.XLOOKUP(CoreValuesResults[[#This Row],[Team Number]],OfficialTeamList[Team Number],OfficialTeamList[Team Name],"",0,)</f>
        <v/>
      </c>
      <c r="C197" s="87">
        <f>_xlfn.XLOOKUP(CoreValuesResults[[#This Row],[Team Number]],InnovationProjectResults[Team Number],InnovationProjectResults[Identify - Research (CV)])</f>
        <v>0</v>
      </c>
      <c r="D197" s="87">
        <f>_xlfn.XLOOKUP(CoreValuesResults[[#This Row],[Team Number]],InnovationProjectResults[Team Number],InnovationProjectResults[Design - Teamwork (CV)])</f>
        <v>0</v>
      </c>
      <c r="E197" s="87">
        <f>_xlfn.XLOOKUP(CoreValuesResults[[#This Row],[Team Number]],InnovationProjectResults[Team Number],InnovationProjectResults[Create - Innovation (CV)])</f>
        <v>0</v>
      </c>
      <c r="F197" s="87">
        <f>_xlfn.XLOOKUP(CoreValuesResults[[#This Row],[Team Number]],InnovationProjectResults[Team Number],InnovationProjectResults[Communicate - Impact (CV)])</f>
        <v>0</v>
      </c>
      <c r="G197" s="87">
        <f>_xlfn.XLOOKUP(CoreValuesResults[[#This Row],[Team Number]],InnovationProjectResults[Team Number],InnovationProjectResults[Communicate - Fun (CV)])</f>
        <v>0</v>
      </c>
      <c r="H197" s="87">
        <f>_xlfn.XLOOKUP(CoreValuesResults[[#This Row],[Team Number]],RobotDesignResults[Team Number],RobotDesignResults[Identify - Research (CV)])</f>
        <v>0</v>
      </c>
      <c r="I197" s="87">
        <f>_xlfn.XLOOKUP(CoreValuesResults[[#This Row],[Team Number]],RobotDesignResults[Team Number],RobotDesignResults[Design - Ideas (CV)])</f>
        <v>0</v>
      </c>
      <c r="J197" s="87">
        <f>_xlfn.XLOOKUP(CoreValuesResults[[#This Row],[Team Number]],RobotDesignResults[Team Number],RobotDesignResults[Iterate - Improvements (CV)])</f>
        <v>0</v>
      </c>
      <c r="K197" s="87">
        <f>_xlfn.XLOOKUP(CoreValuesResults[[#This Row],[Team Number]],RobotDesignResults[Team Number],RobotDesignResults[Communicate - Impact (CV)])</f>
        <v>0</v>
      </c>
      <c r="L197" s="87">
        <f>_xlfn.XLOOKUP(CoreValuesResults[[#This Row],[Team Number]],RobotDesignResults[Team Number],RobotDesignResults[Communicate - Fun (CV)])</f>
        <v>0</v>
      </c>
      <c r="M197" s="17"/>
      <c r="N197" s="17"/>
      <c r="O197" s="17"/>
      <c r="P197" s="17"/>
      <c r="Q197" s="17"/>
      <c r="R197" s="12" t="str">
        <f>IF(CoreValuesResults[[#This Row],[Gracious Professionalism 1]]="","",COUNTIF(CoreValuesResults[[#This Row],[Gracious Professionalism 1]:[Gracious Professionalism 5]],""))</f>
        <v/>
      </c>
      <c r="S197" s="12" t="str">
        <f>IF(CoreValuesResults[[#This Row],[Gracious Professionalism 1]]="","",SUM(CoreValuesResults[[#This Row],[Gracious Professionalism 1]:[Gracious Professionalism 5]]))</f>
        <v/>
      </c>
      <c r="T197"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197" s="83">
        <f>SUM(CoreValuesResults[[#This Row],[Discovery (IP)]:[Fun (RD)]],CoreValuesResults[[#This Row],[Gracious Professionalism Score]])</f>
        <v>0</v>
      </c>
      <c r="V197" s="43">
        <f>IF(CoreValuesResults[[#This Row],[Team Number]]&gt;0,MIN(_xlfn.RANK.EQ(CoreValuesResults[[#This Row],[Core Values Score]],CoreValuesResults[Core Values Score],0),NumberOfTeams),NumberOfTeams+1)</f>
        <v>1</v>
      </c>
      <c r="W197" s="82"/>
      <c r="X197" s="82"/>
      <c r="Y197" s="82"/>
    </row>
    <row r="198" spans="1:25" ht="30" customHeight="1" x14ac:dyDescent="0.45">
      <c r="A198" s="12">
        <f>_xlfn.XLOOKUP(197,OfficialTeamList[Row],OfficialTeamList[Team Number],"ERROR",0)</f>
        <v>0</v>
      </c>
      <c r="B198" s="42" t="str">
        <f>_xlfn.XLOOKUP(CoreValuesResults[[#This Row],[Team Number]],OfficialTeamList[Team Number],OfficialTeamList[Team Name],"",0,)</f>
        <v/>
      </c>
      <c r="C198" s="87">
        <f>_xlfn.XLOOKUP(CoreValuesResults[[#This Row],[Team Number]],InnovationProjectResults[Team Number],InnovationProjectResults[Identify - Research (CV)])</f>
        <v>0</v>
      </c>
      <c r="D198" s="87">
        <f>_xlfn.XLOOKUP(CoreValuesResults[[#This Row],[Team Number]],InnovationProjectResults[Team Number],InnovationProjectResults[Design - Teamwork (CV)])</f>
        <v>0</v>
      </c>
      <c r="E198" s="87">
        <f>_xlfn.XLOOKUP(CoreValuesResults[[#This Row],[Team Number]],InnovationProjectResults[Team Number],InnovationProjectResults[Create - Innovation (CV)])</f>
        <v>0</v>
      </c>
      <c r="F198" s="87">
        <f>_xlfn.XLOOKUP(CoreValuesResults[[#This Row],[Team Number]],InnovationProjectResults[Team Number],InnovationProjectResults[Communicate - Impact (CV)])</f>
        <v>0</v>
      </c>
      <c r="G198" s="87">
        <f>_xlfn.XLOOKUP(CoreValuesResults[[#This Row],[Team Number]],InnovationProjectResults[Team Number],InnovationProjectResults[Communicate - Fun (CV)])</f>
        <v>0</v>
      </c>
      <c r="H198" s="87">
        <f>_xlfn.XLOOKUP(CoreValuesResults[[#This Row],[Team Number]],RobotDesignResults[Team Number],RobotDesignResults[Identify - Research (CV)])</f>
        <v>0</v>
      </c>
      <c r="I198" s="87">
        <f>_xlfn.XLOOKUP(CoreValuesResults[[#This Row],[Team Number]],RobotDesignResults[Team Number],RobotDesignResults[Design - Ideas (CV)])</f>
        <v>0</v>
      </c>
      <c r="J198" s="87">
        <f>_xlfn.XLOOKUP(CoreValuesResults[[#This Row],[Team Number]],RobotDesignResults[Team Number],RobotDesignResults[Iterate - Improvements (CV)])</f>
        <v>0</v>
      </c>
      <c r="K198" s="87">
        <f>_xlfn.XLOOKUP(CoreValuesResults[[#This Row],[Team Number]],RobotDesignResults[Team Number],RobotDesignResults[Communicate - Impact (CV)])</f>
        <v>0</v>
      </c>
      <c r="L198" s="87">
        <f>_xlfn.XLOOKUP(CoreValuesResults[[#This Row],[Team Number]],RobotDesignResults[Team Number],RobotDesignResults[Communicate - Fun (CV)])</f>
        <v>0</v>
      </c>
      <c r="M198" s="17"/>
      <c r="N198" s="17"/>
      <c r="O198" s="17"/>
      <c r="P198" s="17"/>
      <c r="Q198" s="17"/>
      <c r="R198" s="12" t="str">
        <f>IF(CoreValuesResults[[#This Row],[Gracious Professionalism 1]]="","",COUNTIF(CoreValuesResults[[#This Row],[Gracious Professionalism 1]:[Gracious Professionalism 5]],""))</f>
        <v/>
      </c>
      <c r="S198" s="12" t="str">
        <f>IF(CoreValuesResults[[#This Row],[Gracious Professionalism 1]]="","",SUM(CoreValuesResults[[#This Row],[Gracious Professionalism 1]:[Gracious Professionalism 5]]))</f>
        <v/>
      </c>
      <c r="T198"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198" s="83">
        <f>SUM(CoreValuesResults[[#This Row],[Discovery (IP)]:[Fun (RD)]],CoreValuesResults[[#This Row],[Gracious Professionalism Score]])</f>
        <v>0</v>
      </c>
      <c r="V198" s="43">
        <f>IF(CoreValuesResults[[#This Row],[Team Number]]&gt;0,MIN(_xlfn.RANK.EQ(CoreValuesResults[[#This Row],[Core Values Score]],CoreValuesResults[Core Values Score],0),NumberOfTeams),NumberOfTeams+1)</f>
        <v>1</v>
      </c>
      <c r="W198" s="82"/>
      <c r="X198" s="82"/>
      <c r="Y198" s="82"/>
    </row>
    <row r="199" spans="1:25" ht="30" customHeight="1" x14ac:dyDescent="0.45">
      <c r="A199" s="12">
        <f>_xlfn.XLOOKUP(198,OfficialTeamList[Row],OfficialTeamList[Team Number],"ERROR",0)</f>
        <v>0</v>
      </c>
      <c r="B199" s="42" t="str">
        <f>_xlfn.XLOOKUP(CoreValuesResults[[#This Row],[Team Number]],OfficialTeamList[Team Number],OfficialTeamList[Team Name],"",0,)</f>
        <v/>
      </c>
      <c r="C199" s="87">
        <f>_xlfn.XLOOKUP(CoreValuesResults[[#This Row],[Team Number]],InnovationProjectResults[Team Number],InnovationProjectResults[Identify - Research (CV)])</f>
        <v>0</v>
      </c>
      <c r="D199" s="87">
        <f>_xlfn.XLOOKUP(CoreValuesResults[[#This Row],[Team Number]],InnovationProjectResults[Team Number],InnovationProjectResults[Design - Teamwork (CV)])</f>
        <v>0</v>
      </c>
      <c r="E199" s="87">
        <f>_xlfn.XLOOKUP(CoreValuesResults[[#This Row],[Team Number]],InnovationProjectResults[Team Number],InnovationProjectResults[Create - Innovation (CV)])</f>
        <v>0</v>
      </c>
      <c r="F199" s="87">
        <f>_xlfn.XLOOKUP(CoreValuesResults[[#This Row],[Team Number]],InnovationProjectResults[Team Number],InnovationProjectResults[Communicate - Impact (CV)])</f>
        <v>0</v>
      </c>
      <c r="G199" s="87">
        <f>_xlfn.XLOOKUP(CoreValuesResults[[#This Row],[Team Number]],InnovationProjectResults[Team Number],InnovationProjectResults[Communicate - Fun (CV)])</f>
        <v>0</v>
      </c>
      <c r="H199" s="87">
        <f>_xlfn.XLOOKUP(CoreValuesResults[[#This Row],[Team Number]],RobotDesignResults[Team Number],RobotDesignResults[Identify - Research (CV)])</f>
        <v>0</v>
      </c>
      <c r="I199" s="87">
        <f>_xlfn.XLOOKUP(CoreValuesResults[[#This Row],[Team Number]],RobotDesignResults[Team Number],RobotDesignResults[Design - Ideas (CV)])</f>
        <v>0</v>
      </c>
      <c r="J199" s="87">
        <f>_xlfn.XLOOKUP(CoreValuesResults[[#This Row],[Team Number]],RobotDesignResults[Team Number],RobotDesignResults[Iterate - Improvements (CV)])</f>
        <v>0</v>
      </c>
      <c r="K199" s="87">
        <f>_xlfn.XLOOKUP(CoreValuesResults[[#This Row],[Team Number]],RobotDesignResults[Team Number],RobotDesignResults[Communicate - Impact (CV)])</f>
        <v>0</v>
      </c>
      <c r="L199" s="87">
        <f>_xlfn.XLOOKUP(CoreValuesResults[[#This Row],[Team Number]],RobotDesignResults[Team Number],RobotDesignResults[Communicate - Fun (CV)])</f>
        <v>0</v>
      </c>
      <c r="M199" s="17"/>
      <c r="N199" s="17"/>
      <c r="O199" s="17"/>
      <c r="P199" s="17"/>
      <c r="Q199" s="17"/>
      <c r="R199" s="12" t="str">
        <f>IF(CoreValuesResults[[#This Row],[Gracious Professionalism 1]]="","",COUNTIF(CoreValuesResults[[#This Row],[Gracious Professionalism 1]:[Gracious Professionalism 5]],""))</f>
        <v/>
      </c>
      <c r="S199" s="12" t="str">
        <f>IF(CoreValuesResults[[#This Row],[Gracious Professionalism 1]]="","",SUM(CoreValuesResults[[#This Row],[Gracious Professionalism 1]:[Gracious Professionalism 5]]))</f>
        <v/>
      </c>
      <c r="T199"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199" s="83">
        <f>SUM(CoreValuesResults[[#This Row],[Discovery (IP)]:[Fun (RD)]],CoreValuesResults[[#This Row],[Gracious Professionalism Score]])</f>
        <v>0</v>
      </c>
      <c r="V199" s="43">
        <f>IF(CoreValuesResults[[#This Row],[Team Number]]&gt;0,MIN(_xlfn.RANK.EQ(CoreValuesResults[[#This Row],[Core Values Score]],CoreValuesResults[Core Values Score],0),NumberOfTeams),NumberOfTeams+1)</f>
        <v>1</v>
      </c>
      <c r="W199" s="82"/>
      <c r="X199" s="82"/>
      <c r="Y199" s="82"/>
    </row>
    <row r="200" spans="1:25" ht="30" customHeight="1" x14ac:dyDescent="0.45">
      <c r="A200" s="12">
        <f>_xlfn.XLOOKUP(199,OfficialTeamList[Row],OfficialTeamList[Team Number],"ERROR",0)</f>
        <v>0</v>
      </c>
      <c r="B200" s="42" t="str">
        <f>_xlfn.XLOOKUP(CoreValuesResults[[#This Row],[Team Number]],OfficialTeamList[Team Number],OfficialTeamList[Team Name],"",0,)</f>
        <v/>
      </c>
      <c r="C200" s="87">
        <f>_xlfn.XLOOKUP(CoreValuesResults[[#This Row],[Team Number]],InnovationProjectResults[Team Number],InnovationProjectResults[Identify - Research (CV)])</f>
        <v>0</v>
      </c>
      <c r="D200" s="87">
        <f>_xlfn.XLOOKUP(CoreValuesResults[[#This Row],[Team Number]],InnovationProjectResults[Team Number],InnovationProjectResults[Design - Teamwork (CV)])</f>
        <v>0</v>
      </c>
      <c r="E200" s="87">
        <f>_xlfn.XLOOKUP(CoreValuesResults[[#This Row],[Team Number]],InnovationProjectResults[Team Number],InnovationProjectResults[Create - Innovation (CV)])</f>
        <v>0</v>
      </c>
      <c r="F200" s="87">
        <f>_xlfn.XLOOKUP(CoreValuesResults[[#This Row],[Team Number]],InnovationProjectResults[Team Number],InnovationProjectResults[Communicate - Impact (CV)])</f>
        <v>0</v>
      </c>
      <c r="G200" s="87">
        <f>_xlfn.XLOOKUP(CoreValuesResults[[#This Row],[Team Number]],InnovationProjectResults[Team Number],InnovationProjectResults[Communicate - Fun (CV)])</f>
        <v>0</v>
      </c>
      <c r="H200" s="87">
        <f>_xlfn.XLOOKUP(CoreValuesResults[[#This Row],[Team Number]],RobotDesignResults[Team Number],RobotDesignResults[Identify - Research (CV)])</f>
        <v>0</v>
      </c>
      <c r="I200" s="87">
        <f>_xlfn.XLOOKUP(CoreValuesResults[[#This Row],[Team Number]],RobotDesignResults[Team Number],RobotDesignResults[Design - Ideas (CV)])</f>
        <v>0</v>
      </c>
      <c r="J200" s="87">
        <f>_xlfn.XLOOKUP(CoreValuesResults[[#This Row],[Team Number]],RobotDesignResults[Team Number],RobotDesignResults[Iterate - Improvements (CV)])</f>
        <v>0</v>
      </c>
      <c r="K200" s="87">
        <f>_xlfn.XLOOKUP(CoreValuesResults[[#This Row],[Team Number]],RobotDesignResults[Team Number],RobotDesignResults[Communicate - Impact (CV)])</f>
        <v>0</v>
      </c>
      <c r="L200" s="87">
        <f>_xlfn.XLOOKUP(CoreValuesResults[[#This Row],[Team Number]],RobotDesignResults[Team Number],RobotDesignResults[Communicate - Fun (CV)])</f>
        <v>0</v>
      </c>
      <c r="M200" s="17"/>
      <c r="N200" s="17"/>
      <c r="O200" s="17"/>
      <c r="P200" s="17"/>
      <c r="Q200" s="17"/>
      <c r="R200" s="12" t="str">
        <f>IF(CoreValuesResults[[#This Row],[Gracious Professionalism 1]]="","",COUNTIF(CoreValuesResults[[#This Row],[Gracious Professionalism 1]:[Gracious Professionalism 5]],""))</f>
        <v/>
      </c>
      <c r="S200" s="12" t="str">
        <f>IF(CoreValuesResults[[#This Row],[Gracious Professionalism 1]]="","",SUM(CoreValuesResults[[#This Row],[Gracious Professionalism 1]:[Gracious Professionalism 5]]))</f>
        <v/>
      </c>
      <c r="T200"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200" s="83">
        <f>SUM(CoreValuesResults[[#This Row],[Discovery (IP)]:[Fun (RD)]],CoreValuesResults[[#This Row],[Gracious Professionalism Score]])</f>
        <v>0</v>
      </c>
      <c r="V200" s="43">
        <f>IF(CoreValuesResults[[#This Row],[Team Number]]&gt;0,MIN(_xlfn.RANK.EQ(CoreValuesResults[[#This Row],[Core Values Score]],CoreValuesResults[Core Values Score],0),NumberOfTeams),NumberOfTeams+1)</f>
        <v>1</v>
      </c>
      <c r="W200" s="82"/>
      <c r="X200" s="82"/>
      <c r="Y200" s="82"/>
    </row>
    <row r="201" spans="1:25" ht="30" customHeight="1" x14ac:dyDescent="0.45">
      <c r="A201" s="12">
        <f>_xlfn.XLOOKUP(200,OfficialTeamList[Row],OfficialTeamList[Team Number],"ERROR",0)</f>
        <v>0</v>
      </c>
      <c r="B201" s="42" t="str">
        <f>_xlfn.XLOOKUP(CoreValuesResults[[#This Row],[Team Number]],OfficialTeamList[Team Number],OfficialTeamList[Team Name],"",0,)</f>
        <v/>
      </c>
      <c r="C201" s="87">
        <f>_xlfn.XLOOKUP(CoreValuesResults[[#This Row],[Team Number]],InnovationProjectResults[Team Number],InnovationProjectResults[Identify - Research (CV)])</f>
        <v>0</v>
      </c>
      <c r="D201" s="87">
        <f>_xlfn.XLOOKUP(CoreValuesResults[[#This Row],[Team Number]],InnovationProjectResults[Team Number],InnovationProjectResults[Design - Teamwork (CV)])</f>
        <v>0</v>
      </c>
      <c r="E201" s="87">
        <f>_xlfn.XLOOKUP(CoreValuesResults[[#This Row],[Team Number]],InnovationProjectResults[Team Number],InnovationProjectResults[Create - Innovation (CV)])</f>
        <v>0</v>
      </c>
      <c r="F201" s="87">
        <f>_xlfn.XLOOKUP(CoreValuesResults[[#This Row],[Team Number]],InnovationProjectResults[Team Number],InnovationProjectResults[Communicate - Impact (CV)])</f>
        <v>0</v>
      </c>
      <c r="G201" s="87">
        <f>_xlfn.XLOOKUP(CoreValuesResults[[#This Row],[Team Number]],InnovationProjectResults[Team Number],InnovationProjectResults[Communicate - Fun (CV)])</f>
        <v>0</v>
      </c>
      <c r="H201" s="87">
        <f>_xlfn.XLOOKUP(CoreValuesResults[[#This Row],[Team Number]],RobotDesignResults[Team Number],RobotDesignResults[Identify - Research (CV)])</f>
        <v>0</v>
      </c>
      <c r="I201" s="87">
        <f>_xlfn.XLOOKUP(CoreValuesResults[[#This Row],[Team Number]],RobotDesignResults[Team Number],RobotDesignResults[Design - Ideas (CV)])</f>
        <v>0</v>
      </c>
      <c r="J201" s="87">
        <f>_xlfn.XLOOKUP(CoreValuesResults[[#This Row],[Team Number]],RobotDesignResults[Team Number],RobotDesignResults[Iterate - Improvements (CV)])</f>
        <v>0</v>
      </c>
      <c r="K201" s="87">
        <f>_xlfn.XLOOKUP(CoreValuesResults[[#This Row],[Team Number]],RobotDesignResults[Team Number],RobotDesignResults[Communicate - Impact (CV)])</f>
        <v>0</v>
      </c>
      <c r="L201" s="87">
        <f>_xlfn.XLOOKUP(CoreValuesResults[[#This Row],[Team Number]],RobotDesignResults[Team Number],RobotDesignResults[Communicate - Fun (CV)])</f>
        <v>0</v>
      </c>
      <c r="M201" s="17"/>
      <c r="N201" s="17"/>
      <c r="O201" s="17"/>
      <c r="P201" s="17"/>
      <c r="Q201" s="17"/>
      <c r="R201" s="12" t="str">
        <f>IF(CoreValuesResults[[#This Row],[Gracious Professionalism 1]]="","",COUNTIF(CoreValuesResults[[#This Row],[Gracious Professionalism 1]:[Gracious Professionalism 5]],""))</f>
        <v/>
      </c>
      <c r="S201" s="12" t="str">
        <f>IF(CoreValuesResults[[#This Row],[Gracious Professionalism 1]]="","",SUM(CoreValuesResults[[#This Row],[Gracious Professionalism 1]:[Gracious Professionalism 5]]))</f>
        <v/>
      </c>
      <c r="T201" s="12" t="str">
        <f>IF(CoreValuesResults[[#This Row],[Gracious Professionalism Empty Count]]=3,SUM(CoreValuesResults[[#This Row],[Gracious Professionalism 1]:[Gracious Professionalism 5]]),IF(CoreValuesResults[[#This Row],[Gracious Professionalism Empty Count]]=4,SUM(CoreValuesResults[[#This Row],[Gracious Professionalism 1]:[Gracious Professionalism 5]]),IF(CoreValuesResults[[#This Row],[Gracious Professionalism Empty Count]]=2,CoreValuesResults[[#This Row],[Gracious Professionalism Total]],IF(CoreValuesResults[[#This Row],[Gracious Professionalism Empty Count]]=1,CoreValuesResults[[#This Row],[Gracious Professionalism Total]]*0.75,IF(CoreValuesResults[[#This Row],[Gracious Professionalism Empty Count]]=0,CoreValuesResults[[#This Row],[Gracious Professionalism Total]]*0.6,"")))))</f>
        <v/>
      </c>
      <c r="U201" s="83">
        <f>SUM(CoreValuesResults[[#This Row],[Discovery (IP)]:[Fun (RD)]],CoreValuesResults[[#This Row],[Gracious Professionalism Score]])</f>
        <v>0</v>
      </c>
      <c r="V201" s="43">
        <f>IF(CoreValuesResults[[#This Row],[Team Number]]&gt;0,MIN(_xlfn.RANK.EQ(CoreValuesResults[[#This Row],[Core Values Score]],CoreValuesResults[Core Values Score],0),NumberOfTeams),NumberOfTeams+1)</f>
        <v>1</v>
      </c>
      <c r="W201" s="82"/>
      <c r="X201" s="82"/>
      <c r="Y201" s="82"/>
    </row>
  </sheetData>
  <conditionalFormatting sqref="W2:Y201">
    <cfRule type="cellIs" dxfId="0" priority="1" operator="equal">
      <formula>TRUE</formula>
    </cfRule>
  </conditionalFormatting>
  <dataValidations disablePrompts="1" count="2">
    <dataValidation type="whole" allowBlank="1" showErrorMessage="1" error="Only values between 1 and 4 are permitted." prompt="Only values between 1 and 4 are permitted. " sqref="M2:Q201" xr:uid="{8A6426AA-ED14-4A0A-B743-0BC21EA4CD26}">
      <formula1>1</formula1>
      <formula2>4</formula2>
    </dataValidation>
    <dataValidation type="list" allowBlank="1" showInputMessage="1" showErrorMessage="1" sqref="W2:Y201" xr:uid="{1F6C3871-1D37-49C9-A23E-7AB15897F984}">
      <formula1>"TRUE"</formula1>
    </dataValidation>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FF4A6-13B6-4E41-9887-010AF02470AF}">
  <dimension ref="A1:H1"/>
  <sheetViews>
    <sheetView workbookViewId="0"/>
  </sheetViews>
  <sheetFormatPr defaultRowHeight="14.25" x14ac:dyDescent="0.45"/>
  <sheetData>
    <row r="1" spans="1:8" x14ac:dyDescent="0.45">
      <c r="A1" s="23" t="s">
        <v>110</v>
      </c>
      <c r="B1" s="23" t="s">
        <v>111</v>
      </c>
      <c r="C1" s="23" t="s">
        <v>112</v>
      </c>
      <c r="D1" s="23">
        <v>1</v>
      </c>
      <c r="E1" s="23">
        <v>2</v>
      </c>
      <c r="F1" s="23">
        <v>3</v>
      </c>
      <c r="G1" s="23">
        <v>4</v>
      </c>
      <c r="H1" s="23">
        <v>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64452-09A2-4F03-99ED-81A0E930AD34}">
  <sheetPr>
    <tabColor theme="1"/>
  </sheetPr>
  <dimension ref="B1:O54"/>
  <sheetViews>
    <sheetView showGridLines="0" tabSelected="1" zoomScaleNormal="100" workbookViewId="0"/>
  </sheetViews>
  <sheetFormatPr defaultRowHeight="14.25" x14ac:dyDescent="0.45"/>
  <cols>
    <col min="1" max="1" width="9.1328125" customWidth="1"/>
    <col min="2" max="2" width="15.46484375" customWidth="1"/>
    <col min="3" max="3" width="45.46484375" customWidth="1"/>
    <col min="4" max="4" width="17.1328125" customWidth="1"/>
    <col min="5" max="5" width="18.46484375" customWidth="1"/>
    <col min="7" max="7" width="15.46484375" customWidth="1"/>
    <col min="8" max="8" width="45.46484375" customWidth="1"/>
    <col min="9" max="9" width="17.1328125" customWidth="1"/>
    <col min="10" max="10" width="18.46484375" customWidth="1"/>
    <col min="12" max="12" width="15.46484375" customWidth="1"/>
    <col min="13" max="13" width="45.46484375" customWidth="1"/>
    <col min="14" max="14" width="17.1328125" customWidth="1"/>
    <col min="15" max="15" width="18.46484375" customWidth="1"/>
  </cols>
  <sheetData>
    <row r="1" spans="2:15" ht="20" customHeight="1" x14ac:dyDescent="0.45"/>
    <row r="2" spans="2:15" ht="20" customHeight="1" x14ac:dyDescent="0.45">
      <c r="B2" s="24" t="s">
        <v>30</v>
      </c>
      <c r="C2" s="24"/>
      <c r="D2" s="24"/>
      <c r="E2" s="24"/>
      <c r="F2" s="24"/>
      <c r="G2" s="24" t="s">
        <v>113</v>
      </c>
      <c r="H2" s="24"/>
      <c r="I2" s="24"/>
      <c r="J2" s="24"/>
      <c r="K2" s="24"/>
      <c r="L2" s="24"/>
      <c r="M2" s="24"/>
      <c r="N2" s="24"/>
      <c r="O2" s="24"/>
    </row>
    <row r="3" spans="2:15" ht="39.6" customHeight="1" x14ac:dyDescent="0.45">
      <c r="B3" s="25" t="s">
        <v>23</v>
      </c>
      <c r="C3" s="25" t="s">
        <v>24</v>
      </c>
      <c r="D3" s="26" t="s">
        <v>56</v>
      </c>
      <c r="E3" s="26" t="s">
        <v>114</v>
      </c>
      <c r="F3" s="24"/>
      <c r="G3" s="27" t="s">
        <v>23</v>
      </c>
      <c r="H3" s="27" t="s">
        <v>24</v>
      </c>
      <c r="I3" s="28" t="s">
        <v>56</v>
      </c>
      <c r="J3" s="28" t="s">
        <v>114</v>
      </c>
      <c r="K3" s="24"/>
      <c r="L3" s="24"/>
      <c r="M3" s="24"/>
      <c r="N3" s="24"/>
      <c r="O3" s="24"/>
    </row>
    <row r="4" spans="2:15" ht="20" customHeight="1" x14ac:dyDescent="0.45">
      <c r="B4" s="24"/>
      <c r="C4" s="24" t="str">
        <f>IF(ISBLANK(ChampionsDelib[[#This Row],[Team Number]]),"",IF(ISBLANK(ChampionsDelib[[#This Row],[Team Number]]),"",_xlfn.XLOOKUP(ChampionsDelib[[#This Row],[Team Number]],OfficialTeamList[Team Number],OfficialTeamList[Team Name],"",0,)))</f>
        <v/>
      </c>
      <c r="D4" s="24">
        <f>_xlfn.XLOOKUP(ChampionsDelib[[#This Row],[Team Number]],TournamentData[Team Number],TournamentData[Champion''s Rank],NumberOfTeams+1,0,)</f>
        <v>1</v>
      </c>
      <c r="E4" s="24"/>
      <c r="F4" s="24"/>
      <c r="G4" s="24"/>
      <c r="H4" s="24" t="str">
        <f>IF(ISBLANK(RobotGameDelib[[#This Row],[Team Number]]),"",_xlfn.XLOOKUP(RobotGameDelib[[#This Row],[Team Number]],OfficialTeamList[Team Number],OfficialTeamList[Team Name],"",0,))</f>
        <v/>
      </c>
      <c r="I4" s="24">
        <f>_xlfn.XLOOKUP(RobotGameDelib[[#This Row],[Team Number]],TournamentData[Team Number],TournamentData[Champion''s Rank],NumberOfTeams+1,0,)</f>
        <v>1</v>
      </c>
      <c r="J4" s="24"/>
      <c r="K4" s="24"/>
      <c r="L4" s="24"/>
      <c r="M4" s="24"/>
      <c r="N4" s="24"/>
      <c r="O4" s="24"/>
    </row>
    <row r="5" spans="2:15" ht="20" customHeight="1" x14ac:dyDescent="0.45">
      <c r="B5" s="24"/>
      <c r="C5" s="24" t="str">
        <f>IF(ISBLANK(ChampionsDelib[[#This Row],[Team Number]]),"",IF(ISBLANK(ChampionsDelib[[#This Row],[Team Number]]),"",_xlfn.XLOOKUP(ChampionsDelib[[#This Row],[Team Number]],OfficialTeamList[Team Number],OfficialTeamList[Team Name],"",0,)))</f>
        <v/>
      </c>
      <c r="D5" s="24">
        <f>_xlfn.XLOOKUP(ChampionsDelib[[#This Row],[Team Number]],TournamentData[Team Number],TournamentData[Champion''s Rank],NumberOfTeams+1,0,)</f>
        <v>1</v>
      </c>
      <c r="E5" s="24"/>
      <c r="F5" s="24"/>
      <c r="G5" s="24"/>
      <c r="H5" s="24" t="str">
        <f>IF(ISBLANK(RobotGameDelib[[#This Row],[Team Number]]),"",_xlfn.XLOOKUP(RobotGameDelib[[#This Row],[Team Number]],OfficialTeamList[Team Number],OfficialTeamList[Team Name],"",0,))</f>
        <v/>
      </c>
      <c r="I5" s="24">
        <f>_xlfn.XLOOKUP(RobotGameDelib[[#This Row],[Team Number]],TournamentData[Team Number],TournamentData[Champion''s Rank],NumberOfTeams+1,0,)</f>
        <v>1</v>
      </c>
      <c r="J5" s="24"/>
      <c r="K5" s="24"/>
      <c r="L5" s="24"/>
      <c r="M5" s="24"/>
      <c r="N5" s="24"/>
      <c r="O5" s="24"/>
    </row>
    <row r="6" spans="2:15" ht="20" customHeight="1" x14ac:dyDescent="0.45">
      <c r="B6" s="24"/>
      <c r="C6" s="24" t="str">
        <f>IF(ISBLANK(ChampionsDelib[[#This Row],[Team Number]]),"",IF(ISBLANK(ChampionsDelib[[#This Row],[Team Number]]),"",_xlfn.XLOOKUP(ChampionsDelib[[#This Row],[Team Number]],OfficialTeamList[Team Number],OfficialTeamList[Team Name],"",0,)))</f>
        <v/>
      </c>
      <c r="D6" s="24">
        <f>_xlfn.XLOOKUP(ChampionsDelib[[#This Row],[Team Number]],TournamentData[Team Number],TournamentData[Champion''s Rank],NumberOfTeams+1,0,)</f>
        <v>1</v>
      </c>
      <c r="E6" s="24"/>
      <c r="F6" s="24"/>
      <c r="G6" s="24"/>
      <c r="H6" s="24" t="str">
        <f>IF(ISBLANK(RobotGameDelib[[#This Row],[Team Number]]),"",_xlfn.XLOOKUP(RobotGameDelib[[#This Row],[Team Number]],OfficialTeamList[Team Number],OfficialTeamList[Team Name],"",0,))</f>
        <v/>
      </c>
      <c r="I6" s="24">
        <f>_xlfn.XLOOKUP(RobotGameDelib[[#This Row],[Team Number]],TournamentData[Team Number],TournamentData[Champion''s Rank],NumberOfTeams+1,0,)</f>
        <v>1</v>
      </c>
      <c r="J6" s="24"/>
      <c r="K6" s="24"/>
      <c r="L6" s="24"/>
      <c r="M6" s="24"/>
      <c r="N6" s="24"/>
      <c r="O6" s="24"/>
    </row>
    <row r="7" spans="2:15" ht="20" customHeight="1" x14ac:dyDescent="0.45">
      <c r="B7" s="24"/>
      <c r="C7" s="24" t="str">
        <f>IF(ISBLANK(ChampionsDelib[[#This Row],[Team Number]]),"",IF(ISBLANK(ChampionsDelib[[#This Row],[Team Number]]),"",_xlfn.XLOOKUP(ChampionsDelib[[#This Row],[Team Number]],OfficialTeamList[Team Number],OfficialTeamList[Team Name],"",0,)))</f>
        <v/>
      </c>
      <c r="D7" s="24">
        <f>_xlfn.XLOOKUP(ChampionsDelib[[#This Row],[Team Number]],TournamentData[Team Number],TournamentData[Champion''s Rank],NumberOfTeams+1,0,)</f>
        <v>1</v>
      </c>
      <c r="E7" s="24"/>
      <c r="F7" s="24"/>
      <c r="G7" s="24"/>
      <c r="H7" s="24" t="str">
        <f>IF(ISBLANK(RobotGameDelib[[#This Row],[Team Number]]),"",_xlfn.XLOOKUP(RobotGameDelib[[#This Row],[Team Number]],OfficialTeamList[Team Number],OfficialTeamList[Team Name],"",0,))</f>
        <v/>
      </c>
      <c r="I7" s="24">
        <f>_xlfn.XLOOKUP(RobotGameDelib[[#This Row],[Team Number]],TournamentData[Team Number],TournamentData[Champion''s Rank],NumberOfTeams+1,0,)</f>
        <v>1</v>
      </c>
      <c r="J7" s="24"/>
      <c r="K7" s="24"/>
      <c r="L7" s="24"/>
      <c r="M7" s="24"/>
      <c r="N7" s="24"/>
      <c r="O7" s="24"/>
    </row>
    <row r="8" spans="2:15" ht="20" customHeight="1" x14ac:dyDescent="0.45">
      <c r="B8" s="24"/>
      <c r="C8" s="24" t="str">
        <f>IF(ISBLANK(ChampionsDelib[[#This Row],[Team Number]]),"",IF(ISBLANK(ChampionsDelib[[#This Row],[Team Number]]),"",_xlfn.XLOOKUP(ChampionsDelib[[#This Row],[Team Number]],OfficialTeamList[Team Number],OfficialTeamList[Team Name],"",0,)))</f>
        <v/>
      </c>
      <c r="D8" s="24">
        <f>_xlfn.XLOOKUP(ChampionsDelib[[#This Row],[Team Number]],TournamentData[Team Number],TournamentData[Champion''s Rank],NumberOfTeams+1,0,)</f>
        <v>1</v>
      </c>
      <c r="E8" s="24"/>
      <c r="F8" s="24"/>
      <c r="G8" s="24"/>
      <c r="H8" s="24" t="str">
        <f>IF(ISBLANK(RobotGameDelib[[#This Row],[Team Number]]),"",_xlfn.XLOOKUP(RobotGameDelib[[#This Row],[Team Number]],OfficialTeamList[Team Number],OfficialTeamList[Team Name],"",0,))</f>
        <v/>
      </c>
      <c r="I8" s="24">
        <f>_xlfn.XLOOKUP(RobotGameDelib[[#This Row],[Team Number]],TournamentData[Team Number],TournamentData[Champion''s Rank],NumberOfTeams+1,0,)</f>
        <v>1</v>
      </c>
      <c r="J8" s="24"/>
      <c r="K8" s="24"/>
      <c r="L8" s="24"/>
      <c r="M8" s="24"/>
      <c r="N8" s="24"/>
      <c r="O8" s="24"/>
    </row>
    <row r="9" spans="2:15" ht="20" customHeight="1" x14ac:dyDescent="0.45">
      <c r="B9" s="24"/>
      <c r="C9" s="24" t="str">
        <f>IF(ISBLANK(ChampionsDelib[[#This Row],[Team Number]]),"",IF(ISBLANK(ChampionsDelib[[#This Row],[Team Number]]),"",_xlfn.XLOOKUP(ChampionsDelib[[#This Row],[Team Number]],OfficialTeamList[Team Number],OfficialTeamList[Team Name],"",0,)))</f>
        <v/>
      </c>
      <c r="D9" s="24">
        <f>_xlfn.XLOOKUP(ChampionsDelib[[#This Row],[Team Number]],TournamentData[Team Number],TournamentData[Champion''s Rank],NumberOfTeams+1,0,)</f>
        <v>1</v>
      </c>
      <c r="E9" s="24"/>
      <c r="F9" s="24"/>
      <c r="G9" s="24"/>
      <c r="H9" s="24" t="str">
        <f>IF(ISBLANK(RobotGameDelib[[#This Row],[Team Number]]),"",_xlfn.XLOOKUP(RobotGameDelib[[#This Row],[Team Number]],OfficialTeamList[Team Number],OfficialTeamList[Team Name],"",0,))</f>
        <v/>
      </c>
      <c r="I9" s="24">
        <f>_xlfn.XLOOKUP(RobotGameDelib[[#This Row],[Team Number]],TournamentData[Team Number],TournamentData[Champion''s Rank],NumberOfTeams+1,0,)</f>
        <v>1</v>
      </c>
      <c r="J9" s="24"/>
      <c r="K9" s="24"/>
      <c r="L9" s="24"/>
      <c r="M9" s="24"/>
      <c r="N9" s="24"/>
      <c r="O9" s="24"/>
    </row>
    <row r="10" spans="2:15" ht="20" customHeight="1" x14ac:dyDescent="0.45">
      <c r="B10" s="24"/>
      <c r="C10" s="24" t="str">
        <f>IF(ISBLANK(ChampionsDelib[[#This Row],[Team Number]]),"",IF(ISBLANK(ChampionsDelib[[#This Row],[Team Number]]),"",_xlfn.XLOOKUP(ChampionsDelib[[#This Row],[Team Number]],OfficialTeamList[Team Number],OfficialTeamList[Team Name],"",0,)))</f>
        <v/>
      </c>
      <c r="D10" s="24">
        <f>_xlfn.XLOOKUP(ChampionsDelib[[#This Row],[Team Number]],TournamentData[Team Number],TournamentData[Champion''s Rank],NumberOfTeams+1,0,)</f>
        <v>1</v>
      </c>
      <c r="E10" s="24"/>
      <c r="F10" s="24"/>
      <c r="G10" s="24"/>
      <c r="H10" s="24" t="str">
        <f>IF(ISBLANK(RobotGameDelib[[#This Row],[Team Number]]),"",_xlfn.XLOOKUP(RobotGameDelib[[#This Row],[Team Number]],OfficialTeamList[Team Number],OfficialTeamList[Team Name],"",0,))</f>
        <v/>
      </c>
      <c r="I10" s="24">
        <f>_xlfn.XLOOKUP(RobotGameDelib[[#This Row],[Team Number]],TournamentData[Team Number],TournamentData[Champion''s Rank],NumberOfTeams+1,0,)</f>
        <v>1</v>
      </c>
      <c r="J10" s="24"/>
      <c r="K10" s="24"/>
      <c r="L10" s="24"/>
      <c r="M10" s="24"/>
      <c r="N10" s="24"/>
      <c r="O10" s="24"/>
    </row>
    <row r="11" spans="2:15" ht="20" customHeight="1" x14ac:dyDescent="0.45">
      <c r="B11" s="24"/>
      <c r="C11" s="24" t="str">
        <f>IF(ISBLANK(ChampionsDelib[[#This Row],[Team Number]]),"",IF(ISBLANK(ChampionsDelib[[#This Row],[Team Number]]),"",_xlfn.XLOOKUP(ChampionsDelib[[#This Row],[Team Number]],OfficialTeamList[Team Number],OfficialTeamList[Team Name],"",0,)))</f>
        <v/>
      </c>
      <c r="D11" s="24">
        <f>_xlfn.XLOOKUP(ChampionsDelib[[#This Row],[Team Number]],TournamentData[Team Number],TournamentData[Champion''s Rank],NumberOfTeams+1,0,)</f>
        <v>1</v>
      </c>
      <c r="E11" s="24"/>
      <c r="F11" s="24"/>
      <c r="G11" s="24"/>
      <c r="H11" s="24" t="str">
        <f>IF(ISBLANK(RobotGameDelib[[#This Row],[Team Number]]),"",_xlfn.XLOOKUP(RobotGameDelib[[#This Row],[Team Number]],OfficialTeamList[Team Number],OfficialTeamList[Team Name],"",0,))</f>
        <v/>
      </c>
      <c r="I11" s="24">
        <f>_xlfn.XLOOKUP(RobotGameDelib[[#This Row],[Team Number]],TournamentData[Team Number],TournamentData[Champion''s Rank],NumberOfTeams+1,0,)</f>
        <v>1</v>
      </c>
      <c r="J11" s="24"/>
      <c r="K11" s="24"/>
      <c r="L11" s="24"/>
      <c r="M11" s="24"/>
      <c r="N11" s="24"/>
      <c r="O11" s="24"/>
    </row>
    <row r="12" spans="2:15" ht="20" customHeight="1" x14ac:dyDescent="0.45">
      <c r="B12" s="24"/>
      <c r="C12" s="24" t="str">
        <f>IF(ISBLANK(ChampionsDelib[[#This Row],[Team Number]]),"",IF(ISBLANK(ChampionsDelib[[#This Row],[Team Number]]),"",_xlfn.XLOOKUP(ChampionsDelib[[#This Row],[Team Number]],OfficialTeamList[Team Number],OfficialTeamList[Team Name],"",0,)))</f>
        <v/>
      </c>
      <c r="D12" s="24">
        <f>_xlfn.XLOOKUP(ChampionsDelib[[#This Row],[Team Number]],TournamentData[Team Number],TournamentData[Champion''s Rank],NumberOfTeams+1,0,)</f>
        <v>1</v>
      </c>
      <c r="E12" s="24"/>
      <c r="F12" s="24"/>
      <c r="G12" s="24"/>
      <c r="H12" s="24" t="str">
        <f>IF(ISBLANK(RobotGameDelib[[#This Row],[Team Number]]),"",_xlfn.XLOOKUP(RobotGameDelib[[#This Row],[Team Number]],OfficialTeamList[Team Number],OfficialTeamList[Team Name],"",0,))</f>
        <v/>
      </c>
      <c r="I12" s="24">
        <f>_xlfn.XLOOKUP(RobotGameDelib[[#This Row],[Team Number]],TournamentData[Team Number],TournamentData[Champion''s Rank],NumberOfTeams+1,0,)</f>
        <v>1</v>
      </c>
      <c r="J12" s="24"/>
      <c r="K12" s="24"/>
      <c r="L12" s="24"/>
      <c r="M12" s="24"/>
      <c r="N12" s="24"/>
      <c r="O12" s="24"/>
    </row>
    <row r="13" spans="2:15" ht="20" customHeight="1" x14ac:dyDescent="0.45">
      <c r="B13" s="24"/>
      <c r="C13" s="24" t="str">
        <f>IF(ISBLANK(ChampionsDelib[[#This Row],[Team Number]]),"",IF(ISBLANK(ChampionsDelib[[#This Row],[Team Number]]),"",_xlfn.XLOOKUP(ChampionsDelib[[#This Row],[Team Number]],OfficialTeamList[Team Number],OfficialTeamList[Team Name],"",0,)))</f>
        <v/>
      </c>
      <c r="D13" s="24">
        <f>_xlfn.XLOOKUP(ChampionsDelib[[#This Row],[Team Number]],TournamentData[Team Number],TournamentData[Champion''s Rank],NumberOfTeams+1,0,)</f>
        <v>1</v>
      </c>
      <c r="E13" s="24"/>
      <c r="F13" s="24"/>
      <c r="G13" s="24"/>
      <c r="H13" s="24" t="str">
        <f>IF(ISBLANK(RobotGameDelib[[#This Row],[Team Number]]),"",_xlfn.XLOOKUP(RobotGameDelib[[#This Row],[Team Number]],OfficialTeamList[Team Number],OfficialTeamList[Team Name],"",0,))</f>
        <v/>
      </c>
      <c r="I13" s="24">
        <f>_xlfn.XLOOKUP(RobotGameDelib[[#This Row],[Team Number]],TournamentData[Team Number],TournamentData[Champion''s Rank],NumberOfTeams+1,0,)</f>
        <v>1</v>
      </c>
      <c r="J13" s="24"/>
      <c r="K13" s="24"/>
      <c r="L13" s="24"/>
      <c r="M13" s="24"/>
      <c r="N13" s="24"/>
      <c r="O13" s="24"/>
    </row>
    <row r="14" spans="2:15" ht="20" customHeight="1" x14ac:dyDescent="0.45">
      <c r="B14" s="24"/>
      <c r="C14" s="24" t="str">
        <f>IF(ISBLANK(ChampionsDelib[[#This Row],[Team Number]]),"",IF(ISBLANK(ChampionsDelib[[#This Row],[Team Number]]),"",_xlfn.XLOOKUP(ChampionsDelib[[#This Row],[Team Number]],OfficialTeamList[Team Number],OfficialTeamList[Team Name],"",0,)))</f>
        <v/>
      </c>
      <c r="D14" s="24">
        <f>_xlfn.XLOOKUP(ChampionsDelib[[#This Row],[Team Number]],TournamentData[Team Number],TournamentData[Champion''s Rank],NumberOfTeams+1,0,)</f>
        <v>1</v>
      </c>
      <c r="E14" s="24"/>
      <c r="F14" s="24"/>
      <c r="G14" s="24"/>
      <c r="H14" s="24" t="str">
        <f>IF(ISBLANK(RobotGameDelib[[#This Row],[Team Number]]),"",_xlfn.XLOOKUP(RobotGameDelib[[#This Row],[Team Number]],OfficialTeamList[Team Number],OfficialTeamList[Team Name],"",0,))</f>
        <v/>
      </c>
      <c r="I14" s="24">
        <f>_xlfn.XLOOKUP(RobotGameDelib[[#This Row],[Team Number]],TournamentData[Team Number],TournamentData[Champion''s Rank],NumberOfTeams+1,0,)</f>
        <v>1</v>
      </c>
      <c r="J14" s="24"/>
      <c r="K14" s="24"/>
      <c r="L14" s="24"/>
      <c r="M14" s="24"/>
      <c r="N14" s="24"/>
      <c r="O14" s="24"/>
    </row>
    <row r="15" spans="2:15" ht="20" customHeight="1" x14ac:dyDescent="0.45">
      <c r="B15" s="24"/>
      <c r="C15" s="24" t="str">
        <f>IF(ISBLANK(ChampionsDelib[[#This Row],[Team Number]]),"",IF(ISBLANK(ChampionsDelib[[#This Row],[Team Number]]),"",_xlfn.XLOOKUP(ChampionsDelib[[#This Row],[Team Number]],OfficialTeamList[Team Number],OfficialTeamList[Team Name],"",0,)))</f>
        <v/>
      </c>
      <c r="D15" s="24">
        <f>_xlfn.XLOOKUP(ChampionsDelib[[#This Row],[Team Number]],TournamentData[Team Number],TournamentData[Champion''s Rank],NumberOfTeams+1,0,)</f>
        <v>1</v>
      </c>
      <c r="E15" s="24"/>
      <c r="F15" s="24"/>
      <c r="G15" s="24"/>
      <c r="H15" s="24" t="str">
        <f>IF(ISBLANK(RobotGameDelib[[#This Row],[Team Number]]),"",_xlfn.XLOOKUP(RobotGameDelib[[#This Row],[Team Number]],OfficialTeamList[Team Number],OfficialTeamList[Team Name],"",0,))</f>
        <v/>
      </c>
      <c r="I15" s="24">
        <f>_xlfn.XLOOKUP(RobotGameDelib[[#This Row],[Team Number]],TournamentData[Team Number],TournamentData[Champion''s Rank],NumberOfTeams+1,0,)</f>
        <v>1</v>
      </c>
      <c r="J15" s="24"/>
      <c r="K15" s="24"/>
      <c r="L15" s="24"/>
      <c r="M15" s="24"/>
      <c r="N15" s="24"/>
      <c r="O15" s="24"/>
    </row>
    <row r="16" spans="2:15" ht="20" customHeight="1" x14ac:dyDescent="0.45">
      <c r="B16" s="24"/>
      <c r="C16" s="24" t="str">
        <f>IF(ISBLANK(ChampionsDelib[[#This Row],[Team Number]]),"",IF(ISBLANK(ChampionsDelib[[#This Row],[Team Number]]),"",_xlfn.XLOOKUP(ChampionsDelib[[#This Row],[Team Number]],OfficialTeamList[Team Number],OfficialTeamList[Team Name],"",0,)))</f>
        <v/>
      </c>
      <c r="D16" s="24">
        <f>_xlfn.XLOOKUP(ChampionsDelib[[#This Row],[Team Number]],TournamentData[Team Number],TournamentData[Champion''s Rank],NumberOfTeams+1,0,)</f>
        <v>1</v>
      </c>
      <c r="E16" s="24"/>
      <c r="F16" s="24"/>
      <c r="G16" s="24"/>
      <c r="H16" s="24" t="str">
        <f>IF(ISBLANK(RobotGameDelib[[#This Row],[Team Number]]),"",_xlfn.XLOOKUP(RobotGameDelib[[#This Row],[Team Number]],OfficialTeamList[Team Number],OfficialTeamList[Team Name],"",0,))</f>
        <v/>
      </c>
      <c r="I16" s="24">
        <f>_xlfn.XLOOKUP(RobotGameDelib[[#This Row],[Team Number]],TournamentData[Team Number],TournamentData[Champion''s Rank],NumberOfTeams+1,0,)</f>
        <v>1</v>
      </c>
      <c r="J16" s="24"/>
      <c r="K16" s="24"/>
      <c r="L16" s="24"/>
      <c r="M16" s="24"/>
      <c r="N16" s="24"/>
      <c r="O16" s="24"/>
    </row>
    <row r="17" spans="2:15" ht="20" customHeight="1" x14ac:dyDescent="0.45">
      <c r="B17" s="24"/>
      <c r="C17" s="24" t="str">
        <f>IF(ISBLANK(ChampionsDelib[[#This Row],[Team Number]]),"",IF(ISBLANK(ChampionsDelib[[#This Row],[Team Number]]),"",_xlfn.XLOOKUP(ChampionsDelib[[#This Row],[Team Number]],OfficialTeamList[Team Number],OfficialTeamList[Team Name],"",0,)))</f>
        <v/>
      </c>
      <c r="D17" s="24">
        <f>_xlfn.XLOOKUP(ChampionsDelib[[#This Row],[Team Number]],TournamentData[Team Number],TournamentData[Champion''s Rank],NumberOfTeams+1,0,)</f>
        <v>1</v>
      </c>
      <c r="E17" s="24"/>
      <c r="F17" s="24"/>
      <c r="G17" s="24"/>
      <c r="H17" s="24" t="str">
        <f>IF(ISBLANK(RobotGameDelib[[#This Row],[Team Number]]),"",_xlfn.XLOOKUP(RobotGameDelib[[#This Row],[Team Number]],OfficialTeamList[Team Number],OfficialTeamList[Team Name],"",0,))</f>
        <v/>
      </c>
      <c r="I17" s="24">
        <f>_xlfn.XLOOKUP(RobotGameDelib[[#This Row],[Team Number]],TournamentData[Team Number],TournamentData[Champion''s Rank],NumberOfTeams+1,0,)</f>
        <v>1</v>
      </c>
      <c r="J17" s="24"/>
      <c r="K17" s="24"/>
      <c r="L17" s="24"/>
      <c r="M17" s="24"/>
      <c r="N17" s="24"/>
      <c r="O17" s="24"/>
    </row>
    <row r="18" spans="2:15" ht="20" customHeight="1" x14ac:dyDescent="0.45">
      <c r="B18" s="24"/>
      <c r="C18" s="24" t="str">
        <f>IF(ISBLANK(ChampionsDelib[[#This Row],[Team Number]]),"",IF(ISBLANK(ChampionsDelib[[#This Row],[Team Number]]),"",_xlfn.XLOOKUP(ChampionsDelib[[#This Row],[Team Number]],OfficialTeamList[Team Number],OfficialTeamList[Team Name],"",0,)))</f>
        <v/>
      </c>
      <c r="D18" s="24">
        <f>_xlfn.XLOOKUP(ChampionsDelib[[#This Row],[Team Number]],TournamentData[Team Number],TournamentData[Champion''s Rank],NumberOfTeams+1,0,)</f>
        <v>1</v>
      </c>
      <c r="E18" s="24"/>
      <c r="F18" s="24"/>
      <c r="G18" s="24"/>
      <c r="H18" s="24" t="str">
        <f>IF(ISBLANK(RobotGameDelib[[#This Row],[Team Number]]),"",_xlfn.XLOOKUP(RobotGameDelib[[#This Row],[Team Number]],OfficialTeamList[Team Number],OfficialTeamList[Team Name],"",0,))</f>
        <v/>
      </c>
      <c r="I18" s="24">
        <f>_xlfn.XLOOKUP(RobotGameDelib[[#This Row],[Team Number]],TournamentData[Team Number],TournamentData[Champion''s Rank],NumberOfTeams+1,0,)</f>
        <v>1</v>
      </c>
      <c r="J18" s="24"/>
      <c r="K18" s="24"/>
      <c r="L18" s="24"/>
      <c r="M18" s="24"/>
      <c r="N18" s="24"/>
      <c r="O18" s="24"/>
    </row>
    <row r="19" spans="2:15" ht="20" customHeight="1" x14ac:dyDescent="0.45">
      <c r="B19" s="24"/>
      <c r="C19" s="24"/>
      <c r="D19" s="24"/>
      <c r="E19" s="24"/>
      <c r="F19" s="24"/>
      <c r="G19" s="24"/>
      <c r="H19" s="24"/>
      <c r="I19" s="24"/>
      <c r="J19" s="24"/>
      <c r="K19" s="24"/>
      <c r="L19" s="24"/>
      <c r="M19" s="24"/>
      <c r="N19" s="24"/>
      <c r="O19" s="24"/>
    </row>
    <row r="20" spans="2:15" ht="20" customHeight="1" x14ac:dyDescent="0.45">
      <c r="B20" s="24" t="s">
        <v>31</v>
      </c>
      <c r="C20" s="24"/>
      <c r="D20" s="24"/>
      <c r="E20" s="24"/>
      <c r="F20" s="24"/>
      <c r="G20" s="24" t="s">
        <v>33</v>
      </c>
      <c r="H20" s="24"/>
      <c r="I20" s="24"/>
      <c r="J20" s="24"/>
      <c r="K20" s="24"/>
      <c r="L20" s="24" t="s">
        <v>32</v>
      </c>
      <c r="M20" s="24"/>
      <c r="N20" s="24"/>
      <c r="O20" s="24"/>
    </row>
    <row r="21" spans="2:15" ht="39.6" customHeight="1" x14ac:dyDescent="0.45">
      <c r="B21" s="29" t="s">
        <v>23</v>
      </c>
      <c r="C21" s="29" t="s">
        <v>24</v>
      </c>
      <c r="D21" s="30" t="s">
        <v>52</v>
      </c>
      <c r="E21" s="30" t="s">
        <v>114</v>
      </c>
      <c r="F21" s="24"/>
      <c r="G21" s="31" t="s">
        <v>23</v>
      </c>
      <c r="H21" s="31" t="s">
        <v>24</v>
      </c>
      <c r="I21" s="32" t="s">
        <v>54</v>
      </c>
      <c r="J21" s="32" t="s">
        <v>114</v>
      </c>
      <c r="K21" s="24"/>
      <c r="L21" s="33" t="s">
        <v>23</v>
      </c>
      <c r="M21" s="33" t="s">
        <v>24</v>
      </c>
      <c r="N21" s="34" t="s">
        <v>53</v>
      </c>
      <c r="O21" s="34" t="s">
        <v>114</v>
      </c>
    </row>
    <row r="22" spans="2:15" ht="20" customHeight="1" x14ac:dyDescent="0.45">
      <c r="B22" s="24"/>
      <c r="C22" s="24" t="str">
        <f>IF(ISBLANK(CoreValuesDelib[[#This Row],[Team Number]]),"",_xlfn.XLOOKUP(CoreValuesDelib[[#This Row],[Team Number]],OfficialTeamList[Team Number],OfficialTeamList[Team Name],"",0,))</f>
        <v/>
      </c>
      <c r="D22" s="24">
        <f>IF(ISNA(INDEX(CoreValuesResults[Core Values Rank],MATCH(CoreValuesDelib[[#This Row],[Team Number]],CoreValuesResults[Team Number],0))),NumberOfTeams+1,INDEX(CoreValuesResults[Core Values Rank],MATCH(CoreValuesDelib[[#This Row],[Team Number]],CoreValuesResults[Team Number],0)))</f>
        <v>1</v>
      </c>
      <c r="E22" s="24"/>
      <c r="F22" s="24"/>
      <c r="G22" s="24"/>
      <c r="H22" s="24" t="str">
        <f>IF(ISBLANK(RobotDesignDelib[[#This Row],[Team Number]]),"",_xlfn.XLOOKUP(RobotDesignDelib[[#This Row],[Team Number]],OfficialTeamList[Team Number],OfficialTeamList[Team Name],"",0,))</f>
        <v/>
      </c>
      <c r="I22" s="24">
        <f>_xlfn.XLOOKUP(RobotDesignDelib[[#This Row],[Team Number]],TournamentData[Team Number],TournamentData[Robot Design Rank],NumberOfTeams+1,0,)</f>
        <v>1</v>
      </c>
      <c r="J22" s="24"/>
      <c r="K22" s="24"/>
      <c r="L22" s="24"/>
      <c r="M22" s="24" t="str">
        <f>IF(ISBLANK(InnovationProjectDelib[[#This Row],[Team Number]]),"",_xlfn.XLOOKUP(InnovationProjectDelib[[#This Row],[Team Number]],OfficialTeamList[Team Number],OfficialTeamList[Team Name],"",0,))</f>
        <v/>
      </c>
      <c r="N22" s="24">
        <f>_xlfn.XLOOKUP(InnovationProjectDelib[[#This Row],[Team Number]],TournamentData[Team Number],TournamentData[Innovation Project Rank],NumberOfTeams+1,0,)</f>
        <v>1</v>
      </c>
      <c r="O22" s="24"/>
    </row>
    <row r="23" spans="2:15" ht="20" customHeight="1" x14ac:dyDescent="0.45">
      <c r="B23" s="24"/>
      <c r="C23" s="24" t="str">
        <f>IF(ISBLANK(CoreValuesDelib[[#This Row],[Team Number]]),"",_xlfn.XLOOKUP(CoreValuesDelib[[#This Row],[Team Number]],OfficialTeamList[Team Number],OfficialTeamList[Team Name],"",0,))</f>
        <v/>
      </c>
      <c r="D23" s="24">
        <f>IF(ISNA(INDEX(CoreValuesResults[Core Values Rank],MATCH(CoreValuesDelib[[#This Row],[Team Number]],CoreValuesResults[Team Number],0))),NumberOfTeams+1,INDEX(CoreValuesResults[Core Values Rank],MATCH(CoreValuesDelib[[#This Row],[Team Number]],CoreValuesResults[Team Number],0)))</f>
        <v>1</v>
      </c>
      <c r="E23" s="24"/>
      <c r="F23" s="24"/>
      <c r="G23" s="24"/>
      <c r="H23" s="24" t="str">
        <f>IF(ISBLANK(RobotDesignDelib[[#This Row],[Team Number]]),"",_xlfn.XLOOKUP(RobotDesignDelib[[#This Row],[Team Number]],OfficialTeamList[Team Number],OfficialTeamList[Team Name],"",0,))</f>
        <v/>
      </c>
      <c r="I23" s="24">
        <f>_xlfn.XLOOKUP(RobotDesignDelib[[#This Row],[Team Number]],TournamentData[Team Number],TournamentData[Robot Design Rank],NumberOfTeams+1,0,)</f>
        <v>1</v>
      </c>
      <c r="J23" s="24"/>
      <c r="K23" s="24"/>
      <c r="L23" s="24"/>
      <c r="M23" s="24" t="str">
        <f>IF(ISBLANK(InnovationProjectDelib[[#This Row],[Team Number]]),"",_xlfn.XLOOKUP(InnovationProjectDelib[[#This Row],[Team Number]],OfficialTeamList[Team Number],OfficialTeamList[Team Name],"",0,))</f>
        <v/>
      </c>
      <c r="N23" s="24">
        <f>_xlfn.XLOOKUP(InnovationProjectDelib[[#This Row],[Team Number]],TournamentData[Team Number],TournamentData[Innovation Project Rank],NumberOfTeams+1,0,)</f>
        <v>1</v>
      </c>
      <c r="O23" s="24"/>
    </row>
    <row r="24" spans="2:15" ht="20" customHeight="1" x14ac:dyDescent="0.45">
      <c r="B24" s="24"/>
      <c r="C24" s="24" t="str">
        <f>IF(ISBLANK(CoreValuesDelib[[#This Row],[Team Number]]),"",_xlfn.XLOOKUP(CoreValuesDelib[[#This Row],[Team Number]],OfficialTeamList[Team Number],OfficialTeamList[Team Name],"",0,))</f>
        <v/>
      </c>
      <c r="D24" s="24">
        <f>IF(ISNA(INDEX(CoreValuesResults[Core Values Rank],MATCH(CoreValuesDelib[[#This Row],[Team Number]],CoreValuesResults[Team Number],0))),NumberOfTeams+1,INDEX(CoreValuesResults[Core Values Rank],MATCH(CoreValuesDelib[[#This Row],[Team Number]],CoreValuesResults[Team Number],0)))</f>
        <v>1</v>
      </c>
      <c r="E24" s="24"/>
      <c r="F24" s="24"/>
      <c r="G24" s="24"/>
      <c r="H24" s="24" t="str">
        <f>IF(ISBLANK(RobotDesignDelib[[#This Row],[Team Number]]),"",_xlfn.XLOOKUP(RobotDesignDelib[[#This Row],[Team Number]],OfficialTeamList[Team Number],OfficialTeamList[Team Name],"",0,))</f>
        <v/>
      </c>
      <c r="I24" s="24">
        <f>_xlfn.XLOOKUP(RobotDesignDelib[[#This Row],[Team Number]],TournamentData[Team Number],TournamentData[Robot Design Rank],NumberOfTeams+1,0,)</f>
        <v>1</v>
      </c>
      <c r="J24" s="24"/>
      <c r="K24" s="24"/>
      <c r="L24" s="24"/>
      <c r="M24" s="24" t="str">
        <f>IF(ISBLANK(InnovationProjectDelib[[#This Row],[Team Number]]),"",_xlfn.XLOOKUP(InnovationProjectDelib[[#This Row],[Team Number]],OfficialTeamList[Team Number],OfficialTeamList[Team Name],"",0,))</f>
        <v/>
      </c>
      <c r="N24" s="24">
        <f>_xlfn.XLOOKUP(InnovationProjectDelib[[#This Row],[Team Number]],TournamentData[Team Number],TournamentData[Innovation Project Rank],NumberOfTeams+1,0,)</f>
        <v>1</v>
      </c>
      <c r="O24" s="24"/>
    </row>
    <row r="25" spans="2:15" ht="20" customHeight="1" x14ac:dyDescent="0.45">
      <c r="B25" s="24"/>
      <c r="C25" s="24" t="str">
        <f>IF(ISBLANK(CoreValuesDelib[[#This Row],[Team Number]]),"",_xlfn.XLOOKUP(CoreValuesDelib[[#This Row],[Team Number]],OfficialTeamList[Team Number],OfficialTeamList[Team Name],"",0,))</f>
        <v/>
      </c>
      <c r="D25" s="24">
        <f>IF(ISNA(INDEX(CoreValuesResults[Core Values Rank],MATCH(CoreValuesDelib[[#This Row],[Team Number]],CoreValuesResults[Team Number],0))),NumberOfTeams+1,INDEX(CoreValuesResults[Core Values Rank],MATCH(CoreValuesDelib[[#This Row],[Team Number]],CoreValuesResults[Team Number],0)))</f>
        <v>1</v>
      </c>
      <c r="E25" s="24"/>
      <c r="F25" s="24"/>
      <c r="G25" s="24"/>
      <c r="H25" s="24" t="str">
        <f>IF(ISBLANK(RobotDesignDelib[[#This Row],[Team Number]]),"",_xlfn.XLOOKUP(RobotDesignDelib[[#This Row],[Team Number]],OfficialTeamList[Team Number],OfficialTeamList[Team Name],"",0,))</f>
        <v/>
      </c>
      <c r="I25" s="24">
        <f>_xlfn.XLOOKUP(RobotDesignDelib[[#This Row],[Team Number]],TournamentData[Team Number],TournamentData[Robot Design Rank],NumberOfTeams+1,0,)</f>
        <v>1</v>
      </c>
      <c r="J25" s="24"/>
      <c r="K25" s="24"/>
      <c r="L25" s="24"/>
      <c r="M25" s="24" t="str">
        <f>IF(ISBLANK(InnovationProjectDelib[[#This Row],[Team Number]]),"",_xlfn.XLOOKUP(InnovationProjectDelib[[#This Row],[Team Number]],OfficialTeamList[Team Number],OfficialTeamList[Team Name],"",0,))</f>
        <v/>
      </c>
      <c r="N25" s="24">
        <f>_xlfn.XLOOKUP(InnovationProjectDelib[[#This Row],[Team Number]],TournamentData[Team Number],TournamentData[Innovation Project Rank],NumberOfTeams+1,0,)</f>
        <v>1</v>
      </c>
      <c r="O25" s="24"/>
    </row>
    <row r="26" spans="2:15" ht="20" customHeight="1" x14ac:dyDescent="0.45">
      <c r="B26" s="24"/>
      <c r="C26" s="24" t="str">
        <f>IF(ISBLANK(CoreValuesDelib[[#This Row],[Team Number]]),"",_xlfn.XLOOKUP(CoreValuesDelib[[#This Row],[Team Number]],OfficialTeamList[Team Number],OfficialTeamList[Team Name],"",0,))</f>
        <v/>
      </c>
      <c r="D26" s="24">
        <f>IF(ISNA(INDEX(CoreValuesResults[Core Values Rank],MATCH(CoreValuesDelib[[#This Row],[Team Number]],CoreValuesResults[Team Number],0))),NumberOfTeams+1,INDEX(CoreValuesResults[Core Values Rank],MATCH(CoreValuesDelib[[#This Row],[Team Number]],CoreValuesResults[Team Number],0)))</f>
        <v>1</v>
      </c>
      <c r="E26" s="24"/>
      <c r="F26" s="24"/>
      <c r="G26" s="24"/>
      <c r="H26" s="24" t="str">
        <f>IF(ISBLANK(RobotDesignDelib[[#This Row],[Team Number]]),"",_xlfn.XLOOKUP(RobotDesignDelib[[#This Row],[Team Number]],OfficialTeamList[Team Number],OfficialTeamList[Team Name],"",0,))</f>
        <v/>
      </c>
      <c r="I26" s="24">
        <f>_xlfn.XLOOKUP(RobotDesignDelib[[#This Row],[Team Number]],TournamentData[Team Number],TournamentData[Robot Design Rank],NumberOfTeams+1,0,)</f>
        <v>1</v>
      </c>
      <c r="J26" s="24"/>
      <c r="K26" s="24"/>
      <c r="L26" s="24"/>
      <c r="M26" s="24" t="str">
        <f>IF(ISBLANK(InnovationProjectDelib[[#This Row],[Team Number]]),"",_xlfn.XLOOKUP(InnovationProjectDelib[[#This Row],[Team Number]],OfficialTeamList[Team Number],OfficialTeamList[Team Name],"",0,))</f>
        <v/>
      </c>
      <c r="N26" s="24">
        <f>_xlfn.XLOOKUP(InnovationProjectDelib[[#This Row],[Team Number]],TournamentData[Team Number],TournamentData[Innovation Project Rank],NumberOfTeams+1,0,)</f>
        <v>1</v>
      </c>
      <c r="O26" s="24"/>
    </row>
    <row r="27" spans="2:15" ht="20" customHeight="1" x14ac:dyDescent="0.45">
      <c r="B27" s="24"/>
      <c r="C27" s="24" t="str">
        <f>IF(ISBLANK(CoreValuesDelib[[#This Row],[Team Number]]),"",_xlfn.XLOOKUP(CoreValuesDelib[[#This Row],[Team Number]],OfficialTeamList[Team Number],OfficialTeamList[Team Name],"",0,))</f>
        <v/>
      </c>
      <c r="D27" s="24">
        <f>IF(ISNA(INDEX(CoreValuesResults[Core Values Rank],MATCH(CoreValuesDelib[[#This Row],[Team Number]],CoreValuesResults[Team Number],0))),NumberOfTeams+1,INDEX(CoreValuesResults[Core Values Rank],MATCH(CoreValuesDelib[[#This Row],[Team Number]],CoreValuesResults[Team Number],0)))</f>
        <v>1</v>
      </c>
      <c r="E27" s="24"/>
      <c r="F27" s="24"/>
      <c r="G27" s="24"/>
      <c r="H27" s="24" t="str">
        <f>IF(ISBLANK(RobotDesignDelib[[#This Row],[Team Number]]),"",_xlfn.XLOOKUP(RobotDesignDelib[[#This Row],[Team Number]],OfficialTeamList[Team Number],OfficialTeamList[Team Name],"",0,))</f>
        <v/>
      </c>
      <c r="I27" s="24">
        <f>_xlfn.XLOOKUP(RobotDesignDelib[[#This Row],[Team Number]],TournamentData[Team Number],TournamentData[Robot Design Rank],NumberOfTeams+1,0,)</f>
        <v>1</v>
      </c>
      <c r="J27" s="24"/>
      <c r="K27" s="24"/>
      <c r="L27" s="24"/>
      <c r="M27" s="24" t="str">
        <f>IF(ISBLANK(InnovationProjectDelib[[#This Row],[Team Number]]),"",_xlfn.XLOOKUP(InnovationProjectDelib[[#This Row],[Team Number]],OfficialTeamList[Team Number],OfficialTeamList[Team Name],"",0,))</f>
        <v/>
      </c>
      <c r="N27" s="24">
        <f>_xlfn.XLOOKUP(InnovationProjectDelib[[#This Row],[Team Number]],TournamentData[Team Number],TournamentData[Innovation Project Rank],NumberOfTeams+1,0,)</f>
        <v>1</v>
      </c>
      <c r="O27" s="24"/>
    </row>
    <row r="28" spans="2:15" ht="20" customHeight="1" x14ac:dyDescent="0.45">
      <c r="B28" s="24"/>
      <c r="C28" s="24" t="str">
        <f>IF(ISBLANK(CoreValuesDelib[[#This Row],[Team Number]]),"",_xlfn.XLOOKUP(CoreValuesDelib[[#This Row],[Team Number]],OfficialTeamList[Team Number],OfficialTeamList[Team Name],"",0,))</f>
        <v/>
      </c>
      <c r="D28" s="24">
        <f>IF(ISNA(INDEX(CoreValuesResults[Core Values Rank],MATCH(CoreValuesDelib[[#This Row],[Team Number]],CoreValuesResults[Team Number],0))),NumberOfTeams+1,INDEX(CoreValuesResults[Core Values Rank],MATCH(CoreValuesDelib[[#This Row],[Team Number]],CoreValuesResults[Team Number],0)))</f>
        <v>1</v>
      </c>
      <c r="E28" s="24"/>
      <c r="F28" s="24"/>
      <c r="G28" s="24"/>
      <c r="H28" s="24" t="str">
        <f>IF(ISBLANK(RobotDesignDelib[[#This Row],[Team Number]]),"",_xlfn.XLOOKUP(RobotDesignDelib[[#This Row],[Team Number]],OfficialTeamList[Team Number],OfficialTeamList[Team Name],"",0,))</f>
        <v/>
      </c>
      <c r="I28" s="24">
        <f>_xlfn.XLOOKUP(RobotDesignDelib[[#This Row],[Team Number]],TournamentData[Team Number],TournamentData[Robot Design Rank],NumberOfTeams+1,0,)</f>
        <v>1</v>
      </c>
      <c r="J28" s="24"/>
      <c r="K28" s="24"/>
      <c r="L28" s="24"/>
      <c r="M28" s="24" t="str">
        <f>IF(ISBLANK(InnovationProjectDelib[[#This Row],[Team Number]]),"",_xlfn.XLOOKUP(InnovationProjectDelib[[#This Row],[Team Number]],OfficialTeamList[Team Number],OfficialTeamList[Team Name],"",0,))</f>
        <v/>
      </c>
      <c r="N28" s="24">
        <f>_xlfn.XLOOKUP(InnovationProjectDelib[[#This Row],[Team Number]],TournamentData[Team Number],TournamentData[Innovation Project Rank],NumberOfTeams+1,0,)</f>
        <v>1</v>
      </c>
      <c r="O28" s="24"/>
    </row>
    <row r="29" spans="2:15" ht="20" customHeight="1" x14ac:dyDescent="0.45">
      <c r="B29" s="24"/>
      <c r="C29" s="24" t="str">
        <f>IF(ISBLANK(CoreValuesDelib[[#This Row],[Team Number]]),"",_xlfn.XLOOKUP(CoreValuesDelib[[#This Row],[Team Number]],OfficialTeamList[Team Number],OfficialTeamList[Team Name],"",0,))</f>
        <v/>
      </c>
      <c r="D29" s="24">
        <f>IF(ISNA(INDEX(CoreValuesResults[Core Values Rank],MATCH(CoreValuesDelib[[#This Row],[Team Number]],CoreValuesResults[Team Number],0))),NumberOfTeams+1,INDEX(CoreValuesResults[Core Values Rank],MATCH(CoreValuesDelib[[#This Row],[Team Number]],CoreValuesResults[Team Number],0)))</f>
        <v>1</v>
      </c>
      <c r="E29" s="24"/>
      <c r="F29" s="24"/>
      <c r="G29" s="24"/>
      <c r="H29" s="24" t="str">
        <f>IF(ISBLANK(RobotDesignDelib[[#This Row],[Team Number]]),"",_xlfn.XLOOKUP(RobotDesignDelib[[#This Row],[Team Number]],OfficialTeamList[Team Number],OfficialTeamList[Team Name],"",0,))</f>
        <v/>
      </c>
      <c r="I29" s="24">
        <f>_xlfn.XLOOKUP(RobotDesignDelib[[#This Row],[Team Number]],TournamentData[Team Number],TournamentData[Robot Design Rank],NumberOfTeams+1,0,)</f>
        <v>1</v>
      </c>
      <c r="J29" s="24"/>
      <c r="K29" s="24"/>
      <c r="L29" s="24"/>
      <c r="M29" s="24" t="str">
        <f>IF(ISBLANK(InnovationProjectDelib[[#This Row],[Team Number]]),"",_xlfn.XLOOKUP(InnovationProjectDelib[[#This Row],[Team Number]],OfficialTeamList[Team Number],OfficialTeamList[Team Name],"",0,))</f>
        <v/>
      </c>
      <c r="N29" s="24">
        <f>_xlfn.XLOOKUP(InnovationProjectDelib[[#This Row],[Team Number]],TournamentData[Team Number],TournamentData[Innovation Project Rank],NumberOfTeams+1,0,)</f>
        <v>1</v>
      </c>
      <c r="O29" s="24"/>
    </row>
    <row r="30" spans="2:15" ht="20" customHeight="1" x14ac:dyDescent="0.45">
      <c r="B30" s="24"/>
      <c r="C30" s="24" t="str">
        <f>IF(ISBLANK(CoreValuesDelib[[#This Row],[Team Number]]),"",_xlfn.XLOOKUP(CoreValuesDelib[[#This Row],[Team Number]],OfficialTeamList[Team Number],OfficialTeamList[Team Name],"",0,))</f>
        <v/>
      </c>
      <c r="D30" s="24">
        <f>IF(ISNA(INDEX(CoreValuesResults[Core Values Rank],MATCH(CoreValuesDelib[[#This Row],[Team Number]],CoreValuesResults[Team Number],0))),NumberOfTeams+1,INDEX(CoreValuesResults[Core Values Rank],MATCH(CoreValuesDelib[[#This Row],[Team Number]],CoreValuesResults[Team Number],0)))</f>
        <v>1</v>
      </c>
      <c r="E30" s="24"/>
      <c r="F30" s="24"/>
      <c r="G30" s="24"/>
      <c r="H30" s="24" t="str">
        <f>IF(ISBLANK(RobotDesignDelib[[#This Row],[Team Number]]),"",_xlfn.XLOOKUP(RobotDesignDelib[[#This Row],[Team Number]],OfficialTeamList[Team Number],OfficialTeamList[Team Name],"",0,))</f>
        <v/>
      </c>
      <c r="I30" s="24">
        <f>_xlfn.XLOOKUP(RobotDesignDelib[[#This Row],[Team Number]],TournamentData[Team Number],TournamentData[Robot Design Rank],NumberOfTeams+1,0,)</f>
        <v>1</v>
      </c>
      <c r="J30" s="24"/>
      <c r="K30" s="24"/>
      <c r="L30" s="24"/>
      <c r="M30" s="24" t="str">
        <f>IF(ISBLANK(InnovationProjectDelib[[#This Row],[Team Number]]),"",_xlfn.XLOOKUP(InnovationProjectDelib[[#This Row],[Team Number]],OfficialTeamList[Team Number],OfficialTeamList[Team Name],"",0,))</f>
        <v/>
      </c>
      <c r="N30" s="24">
        <f>_xlfn.XLOOKUP(InnovationProjectDelib[[#This Row],[Team Number]],TournamentData[Team Number],TournamentData[Innovation Project Rank],NumberOfTeams+1,0,)</f>
        <v>1</v>
      </c>
      <c r="O30" s="24"/>
    </row>
    <row r="31" spans="2:15" ht="20" customHeight="1" x14ac:dyDescent="0.45">
      <c r="B31" s="24"/>
      <c r="C31" s="24" t="str">
        <f>IF(ISBLANK(CoreValuesDelib[[#This Row],[Team Number]]),"",_xlfn.XLOOKUP(CoreValuesDelib[[#This Row],[Team Number]],OfficialTeamList[Team Number],OfficialTeamList[Team Name],"",0,))</f>
        <v/>
      </c>
      <c r="D31" s="24">
        <f>IF(ISNA(INDEX(CoreValuesResults[Core Values Rank],MATCH(CoreValuesDelib[[#This Row],[Team Number]],CoreValuesResults[Team Number],0))),NumberOfTeams+1,INDEX(CoreValuesResults[Core Values Rank],MATCH(CoreValuesDelib[[#This Row],[Team Number]],CoreValuesResults[Team Number],0)))</f>
        <v>1</v>
      </c>
      <c r="E31" s="24"/>
      <c r="F31" s="24"/>
      <c r="G31" s="24"/>
      <c r="H31" s="24" t="str">
        <f>IF(ISBLANK(RobotDesignDelib[[#This Row],[Team Number]]),"",_xlfn.XLOOKUP(RobotDesignDelib[[#This Row],[Team Number]],OfficialTeamList[Team Number],OfficialTeamList[Team Name],"",0,))</f>
        <v/>
      </c>
      <c r="I31" s="24">
        <f>_xlfn.XLOOKUP(RobotDesignDelib[[#This Row],[Team Number]],TournamentData[Team Number],TournamentData[Robot Design Rank],NumberOfTeams+1,0,)</f>
        <v>1</v>
      </c>
      <c r="J31" s="24"/>
      <c r="K31" s="24"/>
      <c r="L31" s="24"/>
      <c r="M31" s="24" t="str">
        <f>IF(ISBLANK(InnovationProjectDelib[[#This Row],[Team Number]]),"",_xlfn.XLOOKUP(InnovationProjectDelib[[#This Row],[Team Number]],OfficialTeamList[Team Number],OfficialTeamList[Team Name],"",0,))</f>
        <v/>
      </c>
      <c r="N31" s="24">
        <f>_xlfn.XLOOKUP(InnovationProjectDelib[[#This Row],[Team Number]],TournamentData[Team Number],TournamentData[Innovation Project Rank],NumberOfTeams+1,0,)</f>
        <v>1</v>
      </c>
      <c r="O31" s="24"/>
    </row>
    <row r="32" spans="2:15" ht="20" customHeight="1" x14ac:dyDescent="0.45">
      <c r="B32" s="24"/>
      <c r="C32" s="24" t="str">
        <f>IF(ISBLANK(CoreValuesDelib[[#This Row],[Team Number]]),"",_xlfn.XLOOKUP(CoreValuesDelib[[#This Row],[Team Number]],OfficialTeamList[Team Number],OfficialTeamList[Team Name],"",0,))</f>
        <v/>
      </c>
      <c r="D32" s="24">
        <f>IF(ISNA(INDEX(CoreValuesResults[Core Values Rank],MATCH(CoreValuesDelib[[#This Row],[Team Number]],CoreValuesResults[Team Number],0))),NumberOfTeams+1,INDEX(CoreValuesResults[Core Values Rank],MATCH(CoreValuesDelib[[#This Row],[Team Number]],CoreValuesResults[Team Number],0)))</f>
        <v>1</v>
      </c>
      <c r="E32" s="24"/>
      <c r="F32" s="24"/>
      <c r="G32" s="24"/>
      <c r="H32" s="24" t="str">
        <f>IF(ISBLANK(RobotDesignDelib[[#This Row],[Team Number]]),"",_xlfn.XLOOKUP(RobotDesignDelib[[#This Row],[Team Number]],OfficialTeamList[Team Number],OfficialTeamList[Team Name],"",0,))</f>
        <v/>
      </c>
      <c r="I32" s="24">
        <f>_xlfn.XLOOKUP(RobotDesignDelib[[#This Row],[Team Number]],TournamentData[Team Number],TournamentData[Robot Design Rank],NumberOfTeams+1,0,)</f>
        <v>1</v>
      </c>
      <c r="J32" s="24"/>
      <c r="K32" s="24"/>
      <c r="L32" s="24"/>
      <c r="M32" s="24" t="str">
        <f>IF(ISBLANK(InnovationProjectDelib[[#This Row],[Team Number]]),"",_xlfn.XLOOKUP(InnovationProjectDelib[[#This Row],[Team Number]],OfficialTeamList[Team Number],OfficialTeamList[Team Name],"",0,))</f>
        <v/>
      </c>
      <c r="N32" s="24">
        <f>_xlfn.XLOOKUP(InnovationProjectDelib[[#This Row],[Team Number]],TournamentData[Team Number],TournamentData[Innovation Project Rank],NumberOfTeams+1,0,)</f>
        <v>1</v>
      </c>
      <c r="O32" s="24"/>
    </row>
    <row r="33" spans="2:15" ht="20" customHeight="1" x14ac:dyDescent="0.45">
      <c r="B33" s="24"/>
      <c r="C33" s="24" t="str">
        <f>IF(ISBLANK(CoreValuesDelib[[#This Row],[Team Number]]),"",_xlfn.XLOOKUP(CoreValuesDelib[[#This Row],[Team Number]],OfficialTeamList[Team Number],OfficialTeamList[Team Name],"",0,))</f>
        <v/>
      </c>
      <c r="D33" s="24">
        <f>IF(ISNA(INDEX(CoreValuesResults[Core Values Rank],MATCH(CoreValuesDelib[[#This Row],[Team Number]],CoreValuesResults[Team Number],0))),NumberOfTeams+1,INDEX(CoreValuesResults[Core Values Rank],MATCH(CoreValuesDelib[[#This Row],[Team Number]],CoreValuesResults[Team Number],0)))</f>
        <v>1</v>
      </c>
      <c r="E33" s="24"/>
      <c r="F33" s="24"/>
      <c r="G33" s="24"/>
      <c r="H33" s="24" t="str">
        <f>IF(ISBLANK(RobotDesignDelib[[#This Row],[Team Number]]),"",_xlfn.XLOOKUP(RobotDesignDelib[[#This Row],[Team Number]],OfficialTeamList[Team Number],OfficialTeamList[Team Name],"",0,))</f>
        <v/>
      </c>
      <c r="I33" s="24">
        <f>_xlfn.XLOOKUP(RobotDesignDelib[[#This Row],[Team Number]],TournamentData[Team Number],TournamentData[Robot Design Rank],NumberOfTeams+1,0,)</f>
        <v>1</v>
      </c>
      <c r="J33" s="24"/>
      <c r="K33" s="24"/>
      <c r="L33" s="24"/>
      <c r="M33" s="24" t="str">
        <f>IF(ISBLANK(InnovationProjectDelib[[#This Row],[Team Number]]),"",_xlfn.XLOOKUP(InnovationProjectDelib[[#This Row],[Team Number]],OfficialTeamList[Team Number],OfficialTeamList[Team Name],"",0,))</f>
        <v/>
      </c>
      <c r="N33" s="24">
        <f>_xlfn.XLOOKUP(InnovationProjectDelib[[#This Row],[Team Number]],TournamentData[Team Number],TournamentData[Innovation Project Rank],NumberOfTeams+1,0,)</f>
        <v>1</v>
      </c>
      <c r="O33" s="24"/>
    </row>
    <row r="34" spans="2:15" ht="20" customHeight="1" x14ac:dyDescent="0.45">
      <c r="B34" s="24"/>
      <c r="C34" s="24" t="str">
        <f>IF(ISBLANK(CoreValuesDelib[[#This Row],[Team Number]]),"",_xlfn.XLOOKUP(CoreValuesDelib[[#This Row],[Team Number]],OfficialTeamList[Team Number],OfficialTeamList[Team Name],"",0,))</f>
        <v/>
      </c>
      <c r="D34" s="24">
        <f>IF(ISNA(INDEX(CoreValuesResults[Core Values Rank],MATCH(CoreValuesDelib[[#This Row],[Team Number]],CoreValuesResults[Team Number],0))),NumberOfTeams+1,INDEX(CoreValuesResults[Core Values Rank],MATCH(CoreValuesDelib[[#This Row],[Team Number]],CoreValuesResults[Team Number],0)))</f>
        <v>1</v>
      </c>
      <c r="E34" s="24"/>
      <c r="F34" s="24"/>
      <c r="G34" s="24"/>
      <c r="H34" s="24" t="str">
        <f>IF(ISBLANK(RobotDesignDelib[[#This Row],[Team Number]]),"",_xlfn.XLOOKUP(RobotDesignDelib[[#This Row],[Team Number]],OfficialTeamList[Team Number],OfficialTeamList[Team Name],"",0,))</f>
        <v/>
      </c>
      <c r="I34" s="24">
        <f>_xlfn.XLOOKUP(RobotDesignDelib[[#This Row],[Team Number]],TournamentData[Team Number],TournamentData[Robot Design Rank],NumberOfTeams+1,0,)</f>
        <v>1</v>
      </c>
      <c r="J34" s="24"/>
      <c r="K34" s="24"/>
      <c r="L34" s="24"/>
      <c r="M34" s="24" t="str">
        <f>IF(ISBLANK(InnovationProjectDelib[[#This Row],[Team Number]]),"",_xlfn.XLOOKUP(InnovationProjectDelib[[#This Row],[Team Number]],OfficialTeamList[Team Number],OfficialTeamList[Team Name],"",0,))</f>
        <v/>
      </c>
      <c r="N34" s="24">
        <f>_xlfn.XLOOKUP(InnovationProjectDelib[[#This Row],[Team Number]],TournamentData[Team Number],TournamentData[Innovation Project Rank],NumberOfTeams+1,0,)</f>
        <v>1</v>
      </c>
      <c r="O34" s="24"/>
    </row>
    <row r="35" spans="2:15" ht="20" customHeight="1" x14ac:dyDescent="0.45">
      <c r="B35" s="24"/>
      <c r="C35" s="24" t="str">
        <f>IF(ISBLANK(CoreValuesDelib[[#This Row],[Team Number]]),"",_xlfn.XLOOKUP(CoreValuesDelib[[#This Row],[Team Number]],OfficialTeamList[Team Number],OfficialTeamList[Team Name],"",0,))</f>
        <v/>
      </c>
      <c r="D35" s="24">
        <f>IF(ISNA(INDEX(CoreValuesResults[Core Values Rank],MATCH(CoreValuesDelib[[#This Row],[Team Number]],CoreValuesResults[Team Number],0))),NumberOfTeams+1,INDEX(CoreValuesResults[Core Values Rank],MATCH(CoreValuesDelib[[#This Row],[Team Number]],CoreValuesResults[Team Number],0)))</f>
        <v>1</v>
      </c>
      <c r="E35" s="24"/>
      <c r="F35" s="24"/>
      <c r="G35" s="24"/>
      <c r="H35" s="24" t="str">
        <f>IF(ISBLANK(RobotDesignDelib[[#This Row],[Team Number]]),"",_xlfn.XLOOKUP(RobotDesignDelib[[#This Row],[Team Number]],OfficialTeamList[Team Number],OfficialTeamList[Team Name],"",0,))</f>
        <v/>
      </c>
      <c r="I35" s="24">
        <f>_xlfn.XLOOKUP(RobotDesignDelib[[#This Row],[Team Number]],TournamentData[Team Number],TournamentData[Robot Design Rank],NumberOfTeams+1,0,)</f>
        <v>1</v>
      </c>
      <c r="J35" s="24"/>
      <c r="K35" s="24"/>
      <c r="L35" s="24"/>
      <c r="M35" s="24" t="str">
        <f>IF(ISBLANK(InnovationProjectDelib[[#This Row],[Team Number]]),"",_xlfn.XLOOKUP(InnovationProjectDelib[[#This Row],[Team Number]],OfficialTeamList[Team Number],OfficialTeamList[Team Name],"",0,))</f>
        <v/>
      </c>
      <c r="N35" s="24">
        <f>_xlfn.XLOOKUP(InnovationProjectDelib[[#This Row],[Team Number]],TournamentData[Team Number],TournamentData[Innovation Project Rank],NumberOfTeams+1,0,)</f>
        <v>1</v>
      </c>
      <c r="O35" s="24"/>
    </row>
    <row r="36" spans="2:15" ht="20" customHeight="1" x14ac:dyDescent="0.45">
      <c r="B36" s="24"/>
      <c r="C36" s="24" t="str">
        <f>IF(ISBLANK(CoreValuesDelib[[#This Row],[Team Number]]),"",_xlfn.XLOOKUP(CoreValuesDelib[[#This Row],[Team Number]],OfficialTeamList[Team Number],OfficialTeamList[Team Name],"",0,))</f>
        <v/>
      </c>
      <c r="D36" s="24">
        <f>IF(ISNA(INDEX(CoreValuesResults[Core Values Rank],MATCH(CoreValuesDelib[[#This Row],[Team Number]],CoreValuesResults[Team Number],0))),NumberOfTeams+1,INDEX(CoreValuesResults[Core Values Rank],MATCH(CoreValuesDelib[[#This Row],[Team Number]],CoreValuesResults[Team Number],0)))</f>
        <v>1</v>
      </c>
      <c r="E36" s="24"/>
      <c r="F36" s="24"/>
      <c r="G36" s="24"/>
      <c r="H36" s="24" t="str">
        <f>IF(ISBLANK(RobotDesignDelib[[#This Row],[Team Number]]),"",_xlfn.XLOOKUP(RobotDesignDelib[[#This Row],[Team Number]],OfficialTeamList[Team Number],OfficialTeamList[Team Name],"",0,))</f>
        <v/>
      </c>
      <c r="I36" s="24">
        <f>_xlfn.XLOOKUP(RobotDesignDelib[[#This Row],[Team Number]],TournamentData[Team Number],TournamentData[Robot Design Rank],NumberOfTeams+1,0,)</f>
        <v>1</v>
      </c>
      <c r="J36" s="24"/>
      <c r="K36" s="24"/>
      <c r="L36" s="24"/>
      <c r="M36" s="24" t="str">
        <f>IF(ISBLANK(InnovationProjectDelib[[#This Row],[Team Number]]),"",_xlfn.XLOOKUP(InnovationProjectDelib[[#This Row],[Team Number]],OfficialTeamList[Team Number],OfficialTeamList[Team Name],"",0,))</f>
        <v/>
      </c>
      <c r="N36" s="24">
        <f>_xlfn.XLOOKUP(InnovationProjectDelib[[#This Row],[Team Number]],TournamentData[Team Number],TournamentData[Innovation Project Rank],NumberOfTeams+1,0,)</f>
        <v>1</v>
      </c>
      <c r="O36" s="24"/>
    </row>
    <row r="37" spans="2:15" ht="20" customHeight="1" x14ac:dyDescent="0.45">
      <c r="B37" s="24"/>
      <c r="C37" s="24"/>
      <c r="D37" s="24"/>
      <c r="E37" s="24"/>
      <c r="F37" s="24"/>
      <c r="G37" s="24"/>
      <c r="H37" s="24"/>
      <c r="I37" s="24"/>
      <c r="J37" s="24"/>
      <c r="K37" s="24"/>
      <c r="L37" s="24"/>
      <c r="M37" s="24"/>
      <c r="N37" s="24"/>
      <c r="O37" s="24"/>
    </row>
    <row r="38" spans="2:15" ht="20" customHeight="1" x14ac:dyDescent="0.45">
      <c r="B38" s="24" t="s">
        <v>35</v>
      </c>
      <c r="C38" s="24"/>
      <c r="D38" s="24"/>
      <c r="E38" s="24"/>
      <c r="F38" s="24"/>
      <c r="G38" s="24" t="s">
        <v>36</v>
      </c>
      <c r="H38" s="24"/>
      <c r="I38" s="24"/>
      <c r="J38" s="24"/>
      <c r="K38" s="24"/>
      <c r="L38" s="24" t="s">
        <v>37</v>
      </c>
      <c r="M38" s="24"/>
      <c r="N38" s="24"/>
      <c r="O38" s="24"/>
    </row>
    <row r="39" spans="2:15" ht="20" customHeight="1" x14ac:dyDescent="0.45">
      <c r="B39" s="35" t="s">
        <v>23</v>
      </c>
      <c r="C39" s="35" t="s">
        <v>24</v>
      </c>
      <c r="D39" s="36" t="s">
        <v>56</v>
      </c>
      <c r="E39" s="36" t="s">
        <v>114</v>
      </c>
      <c r="F39" s="24"/>
      <c r="G39" s="35" t="s">
        <v>23</v>
      </c>
      <c r="H39" s="35" t="s">
        <v>24</v>
      </c>
      <c r="I39" s="36" t="s">
        <v>56</v>
      </c>
      <c r="J39" s="36" t="s">
        <v>114</v>
      </c>
      <c r="K39" s="24"/>
      <c r="L39" s="35" t="s">
        <v>23</v>
      </c>
      <c r="M39" s="35" t="s">
        <v>24</v>
      </c>
      <c r="N39" s="36" t="s">
        <v>56</v>
      </c>
      <c r="O39" s="36" t="s">
        <v>114</v>
      </c>
    </row>
    <row r="40" spans="2:15" ht="20" customHeight="1" x14ac:dyDescent="0.45">
      <c r="B40" s="24"/>
      <c r="C40" s="24" t="str">
        <f>IF(ISBLANK(BreakthroughDelib[[#This Row],[Team Number]]),"",_xlfn.XLOOKUP(BreakthroughDelib[[#This Row],[Team Number]],OfficialTeamList[Team Number],OfficialTeamList[Team Name],"",0,))</f>
        <v/>
      </c>
      <c r="D40" s="24">
        <f>_xlfn.XLOOKUP(BreakthroughDelib[[#This Row],[Team Number]],TournamentData[Team Number],TournamentData[Champion''s Rank],NumberOfTeams+1,0,)</f>
        <v>1</v>
      </c>
      <c r="E40" s="24"/>
      <c r="F40" s="24"/>
      <c r="G40" s="24"/>
      <c r="H40" s="24" t="str">
        <f>IF(ISBLANK(RookiAllStarDelib[[#This Row],[Team Number]]),"",_xlfn.XLOOKUP(RookiAllStarDelib[[#This Row],[Team Number]],OfficialTeamList[Team Number],OfficialTeamList[Team Name],"",0,))</f>
        <v/>
      </c>
      <c r="I40" s="24">
        <f>_xlfn.XLOOKUP(RookiAllStarDelib[[#This Row],[Team Number]],TournamentData[Team Number],TournamentData[Champion''s Rank],NumberOfTeams+1,0,)</f>
        <v>1</v>
      </c>
      <c r="J40" s="24"/>
      <c r="K40" s="24"/>
      <c r="L40" s="24"/>
      <c r="M40" s="24" t="str">
        <f>IF(ISBLANK(MotivateDelib[[#This Row],[Team Number]]),"",_xlfn.XLOOKUP(MotivateDelib[[#This Row],[Team Number]],OfficialTeamList[Team Number],OfficialTeamList[Team Name],"",0,))</f>
        <v/>
      </c>
      <c r="N40" s="24">
        <f>_xlfn.XLOOKUP(MotivateDelib[[#This Row],[Team Number]],TournamentData[Team Number],TournamentData[Champion''s Rank],NumberOfTeams+1,0,)</f>
        <v>1</v>
      </c>
      <c r="O40" s="24"/>
    </row>
    <row r="41" spans="2:15" ht="20" customHeight="1" x14ac:dyDescent="0.45">
      <c r="B41" s="24"/>
      <c r="C41" s="24" t="str">
        <f>IF(ISBLANK(BreakthroughDelib[[#This Row],[Team Number]]),"",_xlfn.XLOOKUP(BreakthroughDelib[[#This Row],[Team Number]],OfficialTeamList[Team Number],OfficialTeamList[Team Name],"",0,))</f>
        <v/>
      </c>
      <c r="D41" s="24">
        <f>_xlfn.XLOOKUP(BreakthroughDelib[[#This Row],[Team Number]],TournamentData[Team Number],TournamentData[Champion''s Rank],NumberOfTeams+1,0,)</f>
        <v>1</v>
      </c>
      <c r="E41" s="24"/>
      <c r="F41" s="24"/>
      <c r="G41" s="24"/>
      <c r="H41" s="24" t="str">
        <f>IF(ISBLANK(RookiAllStarDelib[[#This Row],[Team Number]]),"",_xlfn.XLOOKUP(RookiAllStarDelib[[#This Row],[Team Number]],OfficialTeamList[Team Number],OfficialTeamList[Team Name],"",0,))</f>
        <v/>
      </c>
      <c r="I41" s="24">
        <f>_xlfn.XLOOKUP(RookiAllStarDelib[[#This Row],[Team Number]],TournamentData[Team Number],TournamentData[Champion''s Rank],NumberOfTeams+1,0,)</f>
        <v>1</v>
      </c>
      <c r="J41" s="24"/>
      <c r="K41" s="24"/>
      <c r="L41" s="24"/>
      <c r="M41" s="24" t="str">
        <f>IF(ISBLANK(MotivateDelib[[#This Row],[Team Number]]),"",_xlfn.XLOOKUP(MotivateDelib[[#This Row],[Team Number]],OfficialTeamList[Team Number],OfficialTeamList[Team Name],"",0,))</f>
        <v/>
      </c>
      <c r="N41" s="24">
        <f>_xlfn.XLOOKUP(MotivateDelib[[#This Row],[Team Number]],TournamentData[Team Number],TournamentData[Champion''s Rank],NumberOfTeams+1,0,)</f>
        <v>1</v>
      </c>
      <c r="O41" s="24"/>
    </row>
    <row r="42" spans="2:15" ht="20" customHeight="1" x14ac:dyDescent="0.45">
      <c r="B42" s="24"/>
      <c r="C42" s="24" t="str">
        <f>IF(ISBLANK(BreakthroughDelib[[#This Row],[Team Number]]),"",_xlfn.XLOOKUP(BreakthroughDelib[[#This Row],[Team Number]],OfficialTeamList[Team Number],OfficialTeamList[Team Name],"",0,))</f>
        <v/>
      </c>
      <c r="D42" s="24">
        <f>_xlfn.XLOOKUP(BreakthroughDelib[[#This Row],[Team Number]],TournamentData[Team Number],TournamentData[Champion''s Rank],NumberOfTeams+1,0,)</f>
        <v>1</v>
      </c>
      <c r="E42" s="24"/>
      <c r="F42" s="24"/>
      <c r="G42" s="24"/>
      <c r="H42" s="24" t="str">
        <f>IF(ISBLANK(RookiAllStarDelib[[#This Row],[Team Number]]),"",_xlfn.XLOOKUP(RookiAllStarDelib[[#This Row],[Team Number]],OfficialTeamList[Team Number],OfficialTeamList[Team Name],"",0,))</f>
        <v/>
      </c>
      <c r="I42" s="24">
        <f>_xlfn.XLOOKUP(RookiAllStarDelib[[#This Row],[Team Number]],TournamentData[Team Number],TournamentData[Champion''s Rank],NumberOfTeams+1,0,)</f>
        <v>1</v>
      </c>
      <c r="J42" s="24"/>
      <c r="K42" s="24"/>
      <c r="L42" s="24"/>
      <c r="M42" s="24" t="str">
        <f>IF(ISBLANK(MotivateDelib[[#This Row],[Team Number]]),"",_xlfn.XLOOKUP(MotivateDelib[[#This Row],[Team Number]],OfficialTeamList[Team Number],OfficialTeamList[Team Name],"",0,))</f>
        <v/>
      </c>
      <c r="N42" s="24">
        <f>_xlfn.XLOOKUP(MotivateDelib[[#This Row],[Team Number]],TournamentData[Team Number],TournamentData[Champion''s Rank],NumberOfTeams+1,0,)</f>
        <v>1</v>
      </c>
      <c r="O42" s="24"/>
    </row>
    <row r="43" spans="2:15" ht="20" customHeight="1" x14ac:dyDescent="0.45">
      <c r="B43" s="24"/>
      <c r="C43" s="24" t="str">
        <f>IF(ISBLANK(BreakthroughDelib[[#This Row],[Team Number]]),"",_xlfn.XLOOKUP(BreakthroughDelib[[#This Row],[Team Number]],OfficialTeamList[Team Number],OfficialTeamList[Team Name],"",0,))</f>
        <v/>
      </c>
      <c r="D43" s="24">
        <f>_xlfn.XLOOKUP(BreakthroughDelib[[#This Row],[Team Number]],TournamentData[Team Number],TournamentData[Champion''s Rank],NumberOfTeams+1,0,)</f>
        <v>1</v>
      </c>
      <c r="E43" s="24"/>
      <c r="F43" s="24"/>
      <c r="G43" s="24"/>
      <c r="H43" s="24" t="str">
        <f>IF(ISBLANK(RookiAllStarDelib[[#This Row],[Team Number]]),"",_xlfn.XLOOKUP(RookiAllStarDelib[[#This Row],[Team Number]],OfficialTeamList[Team Number],OfficialTeamList[Team Name],"",0,))</f>
        <v/>
      </c>
      <c r="I43" s="24">
        <f>_xlfn.XLOOKUP(RookiAllStarDelib[[#This Row],[Team Number]],TournamentData[Team Number],TournamentData[Champion''s Rank],NumberOfTeams+1,0,)</f>
        <v>1</v>
      </c>
      <c r="J43" s="24"/>
      <c r="K43" s="24"/>
      <c r="L43" s="24"/>
      <c r="M43" s="24" t="str">
        <f>IF(ISBLANK(MotivateDelib[[#This Row],[Team Number]]),"",_xlfn.XLOOKUP(MotivateDelib[[#This Row],[Team Number]],OfficialTeamList[Team Number],OfficialTeamList[Team Name],"",0,))</f>
        <v/>
      </c>
      <c r="N43" s="24">
        <f>_xlfn.XLOOKUP(MotivateDelib[[#This Row],[Team Number]],TournamentData[Team Number],TournamentData[Champion''s Rank],NumberOfTeams+1,0,)</f>
        <v>1</v>
      </c>
      <c r="O43" s="24"/>
    </row>
    <row r="44" spans="2:15" ht="20" customHeight="1" x14ac:dyDescent="0.45">
      <c r="B44" s="24"/>
      <c r="C44" s="24" t="str">
        <f>IF(ISBLANK(BreakthroughDelib[[#This Row],[Team Number]]),"",_xlfn.XLOOKUP(BreakthroughDelib[[#This Row],[Team Number]],OfficialTeamList[Team Number],OfficialTeamList[Team Name],"",0,))</f>
        <v/>
      </c>
      <c r="D44" s="24">
        <f>_xlfn.XLOOKUP(BreakthroughDelib[[#This Row],[Team Number]],TournamentData[Team Number],TournamentData[Champion''s Rank],NumberOfTeams+1,0,)</f>
        <v>1</v>
      </c>
      <c r="E44" s="24"/>
      <c r="F44" s="24"/>
      <c r="G44" s="24"/>
      <c r="H44" s="24" t="str">
        <f>IF(ISBLANK(RookiAllStarDelib[[#This Row],[Team Number]]),"",_xlfn.XLOOKUP(RookiAllStarDelib[[#This Row],[Team Number]],OfficialTeamList[Team Number],OfficialTeamList[Team Name],"",0,))</f>
        <v/>
      </c>
      <c r="I44" s="24">
        <f>_xlfn.XLOOKUP(RookiAllStarDelib[[#This Row],[Team Number]],TournamentData[Team Number],TournamentData[Champion''s Rank],NumberOfTeams+1,0,)</f>
        <v>1</v>
      </c>
      <c r="J44" s="24"/>
      <c r="K44" s="24"/>
      <c r="L44" s="24"/>
      <c r="M44" s="24" t="str">
        <f>IF(ISBLANK(MotivateDelib[[#This Row],[Team Number]]),"",_xlfn.XLOOKUP(MotivateDelib[[#This Row],[Team Number]],OfficialTeamList[Team Number],OfficialTeamList[Team Name],"",0,))</f>
        <v/>
      </c>
      <c r="N44" s="24">
        <f>_xlfn.XLOOKUP(MotivateDelib[[#This Row],[Team Number]],TournamentData[Team Number],TournamentData[Champion''s Rank],NumberOfTeams+1,0,)</f>
        <v>1</v>
      </c>
      <c r="O44" s="24"/>
    </row>
    <row r="45" spans="2:15" ht="20" customHeight="1" x14ac:dyDescent="0.45">
      <c r="B45" s="24"/>
      <c r="C45" s="24" t="str">
        <f>IF(ISBLANK(BreakthroughDelib[[#This Row],[Team Number]]),"",_xlfn.XLOOKUP(BreakthroughDelib[[#This Row],[Team Number]],OfficialTeamList[Team Number],OfficialTeamList[Team Name],"",0,))</f>
        <v/>
      </c>
      <c r="D45" s="24">
        <f>_xlfn.XLOOKUP(BreakthroughDelib[[#This Row],[Team Number]],TournamentData[Team Number],TournamentData[Champion''s Rank],NumberOfTeams+1,0,)</f>
        <v>1</v>
      </c>
      <c r="E45" s="24"/>
      <c r="F45" s="24"/>
      <c r="G45" s="24"/>
      <c r="H45" s="24" t="str">
        <f>IF(ISBLANK(RookiAllStarDelib[[#This Row],[Team Number]]),"",_xlfn.XLOOKUP(RookiAllStarDelib[[#This Row],[Team Number]],OfficialTeamList[Team Number],OfficialTeamList[Team Name],"",0,))</f>
        <v/>
      </c>
      <c r="I45" s="24">
        <f>_xlfn.XLOOKUP(RookiAllStarDelib[[#This Row],[Team Number]],TournamentData[Team Number],TournamentData[Champion''s Rank],NumberOfTeams+1,0,)</f>
        <v>1</v>
      </c>
      <c r="J45" s="24"/>
      <c r="K45" s="24"/>
      <c r="L45" s="24"/>
      <c r="M45" s="24" t="str">
        <f>IF(ISBLANK(MotivateDelib[[#This Row],[Team Number]]),"",_xlfn.XLOOKUP(MotivateDelib[[#This Row],[Team Number]],OfficialTeamList[Team Number],OfficialTeamList[Team Name],"",0,))</f>
        <v/>
      </c>
      <c r="N45" s="24">
        <f>_xlfn.XLOOKUP(MotivateDelib[[#This Row],[Team Number]],TournamentData[Team Number],TournamentData[Champion''s Rank],NumberOfTeams+1,0,)</f>
        <v>1</v>
      </c>
      <c r="O45" s="24"/>
    </row>
    <row r="46" spans="2:15" ht="20" customHeight="1" x14ac:dyDescent="0.45">
      <c r="B46" s="24"/>
      <c r="C46" s="24" t="str">
        <f>IF(ISBLANK(BreakthroughDelib[[#This Row],[Team Number]]),"",_xlfn.XLOOKUP(BreakthroughDelib[[#This Row],[Team Number]],OfficialTeamList[Team Number],OfficialTeamList[Team Name],"",0,))</f>
        <v/>
      </c>
      <c r="D46" s="24">
        <f>_xlfn.XLOOKUP(BreakthroughDelib[[#This Row],[Team Number]],TournamentData[Team Number],TournamentData[Champion''s Rank],NumberOfTeams+1,0,)</f>
        <v>1</v>
      </c>
      <c r="E46" s="24"/>
      <c r="F46" s="24"/>
      <c r="G46" s="24"/>
      <c r="H46" s="24" t="str">
        <f>IF(ISBLANK(RookiAllStarDelib[[#This Row],[Team Number]]),"",_xlfn.XLOOKUP(RookiAllStarDelib[[#This Row],[Team Number]],OfficialTeamList[Team Number],OfficialTeamList[Team Name],"",0,))</f>
        <v/>
      </c>
      <c r="I46" s="24">
        <f>_xlfn.XLOOKUP(RookiAllStarDelib[[#This Row],[Team Number]],TournamentData[Team Number],TournamentData[Champion''s Rank],NumberOfTeams+1,0,)</f>
        <v>1</v>
      </c>
      <c r="J46" s="24"/>
      <c r="K46" s="24"/>
      <c r="L46" s="24"/>
      <c r="M46" s="24" t="str">
        <f>IF(ISBLANK(MotivateDelib[[#This Row],[Team Number]]),"",_xlfn.XLOOKUP(MotivateDelib[[#This Row],[Team Number]],OfficialTeamList[Team Number],OfficialTeamList[Team Name],"",0,))</f>
        <v/>
      </c>
      <c r="N46" s="24">
        <f>_xlfn.XLOOKUP(MotivateDelib[[#This Row],[Team Number]],TournamentData[Team Number],TournamentData[Champion''s Rank],NumberOfTeams+1,0,)</f>
        <v>1</v>
      </c>
      <c r="O46" s="24"/>
    </row>
    <row r="47" spans="2:15" ht="20" customHeight="1" x14ac:dyDescent="0.45">
      <c r="B47" s="24"/>
      <c r="C47" s="24" t="str">
        <f>IF(ISBLANK(BreakthroughDelib[[#This Row],[Team Number]]),"",_xlfn.XLOOKUP(BreakthroughDelib[[#This Row],[Team Number]],OfficialTeamList[Team Number],OfficialTeamList[Team Name],"",0,))</f>
        <v/>
      </c>
      <c r="D47" s="24">
        <f>_xlfn.XLOOKUP(BreakthroughDelib[[#This Row],[Team Number]],TournamentData[Team Number],TournamentData[Champion''s Rank],NumberOfTeams+1,0,)</f>
        <v>1</v>
      </c>
      <c r="E47" s="24"/>
      <c r="F47" s="24"/>
      <c r="G47" s="24"/>
      <c r="H47" s="24" t="str">
        <f>IF(ISBLANK(RookiAllStarDelib[[#This Row],[Team Number]]),"",_xlfn.XLOOKUP(RookiAllStarDelib[[#This Row],[Team Number]],OfficialTeamList[Team Number],OfficialTeamList[Team Name],"",0,))</f>
        <v/>
      </c>
      <c r="I47" s="24">
        <f>_xlfn.XLOOKUP(RookiAllStarDelib[[#This Row],[Team Number]],TournamentData[Team Number],TournamentData[Champion''s Rank],NumberOfTeams+1,0,)</f>
        <v>1</v>
      </c>
      <c r="J47" s="24"/>
      <c r="K47" s="24"/>
      <c r="L47" s="24"/>
      <c r="M47" s="24" t="str">
        <f>IF(ISBLANK(MotivateDelib[[#This Row],[Team Number]]),"",_xlfn.XLOOKUP(MotivateDelib[[#This Row],[Team Number]],OfficialTeamList[Team Number],OfficialTeamList[Team Name],"",0,))</f>
        <v/>
      </c>
      <c r="N47" s="24">
        <f>_xlfn.XLOOKUP(MotivateDelib[[#This Row],[Team Number]],TournamentData[Team Number],TournamentData[Champion''s Rank],NumberOfTeams+1,0,)</f>
        <v>1</v>
      </c>
      <c r="O47" s="24"/>
    </row>
    <row r="48" spans="2:15" ht="20" customHeight="1" x14ac:dyDescent="0.45">
      <c r="B48" s="24"/>
      <c r="C48" s="24" t="str">
        <f>IF(ISBLANK(BreakthroughDelib[[#This Row],[Team Number]]),"",_xlfn.XLOOKUP(BreakthroughDelib[[#This Row],[Team Number]],OfficialTeamList[Team Number],OfficialTeamList[Team Name],"",0,))</f>
        <v/>
      </c>
      <c r="D48" s="24">
        <f>_xlfn.XLOOKUP(BreakthroughDelib[[#This Row],[Team Number]],TournamentData[Team Number],TournamentData[Champion''s Rank],NumberOfTeams+1,0,)</f>
        <v>1</v>
      </c>
      <c r="E48" s="24"/>
      <c r="F48" s="24"/>
      <c r="G48" s="24"/>
      <c r="H48" s="24" t="str">
        <f>IF(ISBLANK(RookiAllStarDelib[[#This Row],[Team Number]]),"",_xlfn.XLOOKUP(RookiAllStarDelib[[#This Row],[Team Number]],OfficialTeamList[Team Number],OfficialTeamList[Team Name],"",0,))</f>
        <v/>
      </c>
      <c r="I48" s="24">
        <f>_xlfn.XLOOKUP(RookiAllStarDelib[[#This Row],[Team Number]],TournamentData[Team Number],TournamentData[Champion''s Rank],NumberOfTeams+1,0,)</f>
        <v>1</v>
      </c>
      <c r="J48" s="24"/>
      <c r="K48" s="24"/>
      <c r="L48" s="24"/>
      <c r="M48" s="24" t="str">
        <f>IF(ISBLANK(MotivateDelib[[#This Row],[Team Number]]),"",_xlfn.XLOOKUP(MotivateDelib[[#This Row],[Team Number]],OfficialTeamList[Team Number],OfficialTeamList[Team Name],"",0,))</f>
        <v/>
      </c>
      <c r="N48" s="24">
        <f>_xlfn.XLOOKUP(MotivateDelib[[#This Row],[Team Number]],TournamentData[Team Number],TournamentData[Champion''s Rank],NumberOfTeams+1,0,)</f>
        <v>1</v>
      </c>
      <c r="O48" s="24"/>
    </row>
    <row r="49" spans="2:15" ht="20" customHeight="1" x14ac:dyDescent="0.45">
      <c r="B49" s="24"/>
      <c r="C49" s="24" t="str">
        <f>IF(ISBLANK(BreakthroughDelib[[#This Row],[Team Number]]),"",_xlfn.XLOOKUP(BreakthroughDelib[[#This Row],[Team Number]],OfficialTeamList[Team Number],OfficialTeamList[Team Name],"",0,))</f>
        <v/>
      </c>
      <c r="D49" s="24">
        <f>_xlfn.XLOOKUP(BreakthroughDelib[[#This Row],[Team Number]],TournamentData[Team Number],TournamentData[Champion''s Rank],NumberOfTeams+1,0,)</f>
        <v>1</v>
      </c>
      <c r="E49" s="24"/>
      <c r="F49" s="24"/>
      <c r="G49" s="24"/>
      <c r="H49" s="24" t="str">
        <f>IF(ISBLANK(RookiAllStarDelib[[#This Row],[Team Number]]),"",_xlfn.XLOOKUP(RookiAllStarDelib[[#This Row],[Team Number]],OfficialTeamList[Team Number],OfficialTeamList[Team Name],"",0,))</f>
        <v/>
      </c>
      <c r="I49" s="24">
        <f>_xlfn.XLOOKUP(RookiAllStarDelib[[#This Row],[Team Number]],TournamentData[Team Number],TournamentData[Champion''s Rank],NumberOfTeams+1,0,)</f>
        <v>1</v>
      </c>
      <c r="J49" s="24"/>
      <c r="K49" s="24"/>
      <c r="L49" s="24"/>
      <c r="M49" s="24" t="str">
        <f>IF(ISBLANK(MotivateDelib[[#This Row],[Team Number]]),"",_xlfn.XLOOKUP(MotivateDelib[[#This Row],[Team Number]],OfficialTeamList[Team Number],OfficialTeamList[Team Name],"",0,))</f>
        <v/>
      </c>
      <c r="N49" s="24">
        <f>_xlfn.XLOOKUP(MotivateDelib[[#This Row],[Team Number]],TournamentData[Team Number],TournamentData[Champion''s Rank],NumberOfTeams+1,0,)</f>
        <v>1</v>
      </c>
      <c r="O49" s="24"/>
    </row>
    <row r="50" spans="2:15" ht="20" customHeight="1" x14ac:dyDescent="0.45">
      <c r="B50" s="24"/>
      <c r="C50" s="24" t="str">
        <f>IF(ISBLANK(BreakthroughDelib[[#This Row],[Team Number]]),"",_xlfn.XLOOKUP(BreakthroughDelib[[#This Row],[Team Number]],OfficialTeamList[Team Number],OfficialTeamList[Team Name],"",0,))</f>
        <v/>
      </c>
      <c r="D50" s="24">
        <f>_xlfn.XLOOKUP(BreakthroughDelib[[#This Row],[Team Number]],TournamentData[Team Number],TournamentData[Champion''s Rank],NumberOfTeams+1,0,)</f>
        <v>1</v>
      </c>
      <c r="E50" s="24"/>
      <c r="F50" s="24"/>
      <c r="G50" s="24"/>
      <c r="H50" s="24" t="str">
        <f>IF(ISBLANK(RookiAllStarDelib[[#This Row],[Team Number]]),"",_xlfn.XLOOKUP(RookiAllStarDelib[[#This Row],[Team Number]],OfficialTeamList[Team Number],OfficialTeamList[Team Name],"",0,))</f>
        <v/>
      </c>
      <c r="I50" s="24">
        <f>_xlfn.XLOOKUP(RookiAllStarDelib[[#This Row],[Team Number]],TournamentData[Team Number],TournamentData[Champion''s Rank],NumberOfTeams+1,0,)</f>
        <v>1</v>
      </c>
      <c r="J50" s="24"/>
      <c r="K50" s="24"/>
      <c r="L50" s="24"/>
      <c r="M50" s="24" t="str">
        <f>IF(ISBLANK(MotivateDelib[[#This Row],[Team Number]]),"",_xlfn.XLOOKUP(MotivateDelib[[#This Row],[Team Number]],OfficialTeamList[Team Number],OfficialTeamList[Team Name],"",0,))</f>
        <v/>
      </c>
      <c r="N50" s="24">
        <f>_xlfn.XLOOKUP(MotivateDelib[[#This Row],[Team Number]],TournamentData[Team Number],TournamentData[Champion''s Rank],NumberOfTeams+1,0,)</f>
        <v>1</v>
      </c>
      <c r="O50" s="24"/>
    </row>
    <row r="51" spans="2:15" ht="20" customHeight="1" x14ac:dyDescent="0.45">
      <c r="B51" s="24"/>
      <c r="C51" s="24" t="str">
        <f>IF(ISBLANK(BreakthroughDelib[[#This Row],[Team Number]]),"",_xlfn.XLOOKUP(BreakthroughDelib[[#This Row],[Team Number]],OfficialTeamList[Team Number],OfficialTeamList[Team Name],"",0,))</f>
        <v/>
      </c>
      <c r="D51" s="24">
        <f>_xlfn.XLOOKUP(BreakthroughDelib[[#This Row],[Team Number]],TournamentData[Team Number],TournamentData[Champion''s Rank],NumberOfTeams+1,0,)</f>
        <v>1</v>
      </c>
      <c r="E51" s="24"/>
      <c r="F51" s="24"/>
      <c r="G51" s="24"/>
      <c r="H51" s="24" t="str">
        <f>IF(ISBLANK(RookiAllStarDelib[[#This Row],[Team Number]]),"",_xlfn.XLOOKUP(RookiAllStarDelib[[#This Row],[Team Number]],OfficialTeamList[Team Number],OfficialTeamList[Team Name],"",0,))</f>
        <v/>
      </c>
      <c r="I51" s="24">
        <f>_xlfn.XLOOKUP(RookiAllStarDelib[[#This Row],[Team Number]],TournamentData[Team Number],TournamentData[Champion''s Rank],NumberOfTeams+1,0,)</f>
        <v>1</v>
      </c>
      <c r="J51" s="24"/>
      <c r="K51" s="24"/>
      <c r="L51" s="24"/>
      <c r="M51" s="24" t="str">
        <f>IF(ISBLANK(MotivateDelib[[#This Row],[Team Number]]),"",_xlfn.XLOOKUP(MotivateDelib[[#This Row],[Team Number]],OfficialTeamList[Team Number],OfficialTeamList[Team Name],"",0,))</f>
        <v/>
      </c>
      <c r="N51" s="24">
        <f>_xlfn.XLOOKUP(MotivateDelib[[#This Row],[Team Number]],TournamentData[Team Number],TournamentData[Champion''s Rank],NumberOfTeams+1,0,)</f>
        <v>1</v>
      </c>
      <c r="O51" s="24"/>
    </row>
    <row r="52" spans="2:15" ht="20" customHeight="1" x14ac:dyDescent="0.45">
      <c r="B52" s="24"/>
      <c r="C52" s="24" t="str">
        <f>IF(ISBLANK(BreakthroughDelib[[#This Row],[Team Number]]),"",_xlfn.XLOOKUP(BreakthroughDelib[[#This Row],[Team Number]],OfficialTeamList[Team Number],OfficialTeamList[Team Name],"",0,))</f>
        <v/>
      </c>
      <c r="D52" s="24">
        <f>_xlfn.XLOOKUP(BreakthroughDelib[[#This Row],[Team Number]],TournamentData[Team Number],TournamentData[Champion''s Rank],NumberOfTeams+1,0,)</f>
        <v>1</v>
      </c>
      <c r="E52" s="24"/>
      <c r="F52" s="24"/>
      <c r="G52" s="24"/>
      <c r="H52" s="24" t="str">
        <f>IF(ISBLANK(RookiAllStarDelib[[#This Row],[Team Number]]),"",_xlfn.XLOOKUP(RookiAllStarDelib[[#This Row],[Team Number]],OfficialTeamList[Team Number],OfficialTeamList[Team Name],"",0,))</f>
        <v/>
      </c>
      <c r="I52" s="24">
        <f>_xlfn.XLOOKUP(RookiAllStarDelib[[#This Row],[Team Number]],TournamentData[Team Number],TournamentData[Champion''s Rank],NumberOfTeams+1,0,)</f>
        <v>1</v>
      </c>
      <c r="J52" s="24"/>
      <c r="K52" s="24"/>
      <c r="L52" s="24"/>
      <c r="M52" s="24" t="str">
        <f>IF(ISBLANK(MotivateDelib[[#This Row],[Team Number]]),"",_xlfn.XLOOKUP(MotivateDelib[[#This Row],[Team Number]],OfficialTeamList[Team Number],OfficialTeamList[Team Name],"",0,))</f>
        <v/>
      </c>
      <c r="N52" s="24">
        <f>_xlfn.XLOOKUP(MotivateDelib[[#This Row],[Team Number]],TournamentData[Team Number],TournamentData[Champion''s Rank],NumberOfTeams+1,0,)</f>
        <v>1</v>
      </c>
      <c r="O52" s="24"/>
    </row>
    <row r="53" spans="2:15" ht="20" customHeight="1" x14ac:dyDescent="0.45">
      <c r="B53" s="24"/>
      <c r="C53" s="24" t="str">
        <f>IF(ISBLANK(BreakthroughDelib[[#This Row],[Team Number]]),"",_xlfn.XLOOKUP(BreakthroughDelib[[#This Row],[Team Number]],OfficialTeamList[Team Number],OfficialTeamList[Team Name],"",0,))</f>
        <v/>
      </c>
      <c r="D53" s="24">
        <f>_xlfn.XLOOKUP(BreakthroughDelib[[#This Row],[Team Number]],TournamentData[Team Number],TournamentData[Champion''s Rank],NumberOfTeams+1,0,)</f>
        <v>1</v>
      </c>
      <c r="E53" s="24"/>
      <c r="F53" s="24"/>
      <c r="G53" s="24"/>
      <c r="H53" s="24" t="str">
        <f>IF(ISBLANK(RookiAllStarDelib[[#This Row],[Team Number]]),"",_xlfn.XLOOKUP(RookiAllStarDelib[[#This Row],[Team Number]],OfficialTeamList[Team Number],OfficialTeamList[Team Name],"",0,))</f>
        <v/>
      </c>
      <c r="I53" s="24">
        <f>_xlfn.XLOOKUP(RookiAllStarDelib[[#This Row],[Team Number]],TournamentData[Team Number],TournamentData[Champion''s Rank],NumberOfTeams+1,0,)</f>
        <v>1</v>
      </c>
      <c r="J53" s="24"/>
      <c r="K53" s="24"/>
      <c r="L53" s="24"/>
      <c r="M53" s="24" t="str">
        <f>IF(ISBLANK(MotivateDelib[[#This Row],[Team Number]]),"",_xlfn.XLOOKUP(MotivateDelib[[#This Row],[Team Number]],OfficialTeamList[Team Number],OfficialTeamList[Team Name],"",0,))</f>
        <v/>
      </c>
      <c r="N53" s="24">
        <f>_xlfn.XLOOKUP(MotivateDelib[[#This Row],[Team Number]],TournamentData[Team Number],TournamentData[Champion''s Rank],NumberOfTeams+1,0,)</f>
        <v>1</v>
      </c>
      <c r="O53" s="24"/>
    </row>
    <row r="54" spans="2:15" ht="20" customHeight="1" x14ac:dyDescent="0.45">
      <c r="B54" s="24"/>
      <c r="C54" s="24" t="str">
        <f>IF(ISBLANK(BreakthroughDelib[[#This Row],[Team Number]]),"",_xlfn.XLOOKUP(BreakthroughDelib[[#This Row],[Team Number]],OfficialTeamList[Team Number],OfficialTeamList[Team Name],"",0,))</f>
        <v/>
      </c>
      <c r="D54" s="24">
        <f>_xlfn.XLOOKUP(BreakthroughDelib[[#This Row],[Team Number]],TournamentData[Team Number],TournamentData[Champion''s Rank],NumberOfTeams+1,0,)</f>
        <v>1</v>
      </c>
      <c r="E54" s="24"/>
      <c r="F54" s="24"/>
      <c r="G54" s="24"/>
      <c r="H54" s="24" t="str">
        <f>IF(ISBLANK(RookiAllStarDelib[[#This Row],[Team Number]]),"",_xlfn.XLOOKUP(RookiAllStarDelib[[#This Row],[Team Number]],OfficialTeamList[Team Number],OfficialTeamList[Team Name],"",0,))</f>
        <v/>
      </c>
      <c r="I54" s="24">
        <f>_xlfn.XLOOKUP(RookiAllStarDelib[[#This Row],[Team Number]],TournamentData[Team Number],TournamentData[Champion''s Rank],NumberOfTeams+1,0,)</f>
        <v>1</v>
      </c>
      <c r="J54" s="24"/>
      <c r="K54" s="24"/>
      <c r="L54" s="24"/>
      <c r="M54" s="24" t="str">
        <f>IF(ISBLANK(MotivateDelib[[#This Row],[Team Number]]),"",_xlfn.XLOOKUP(MotivateDelib[[#This Row],[Team Number]],OfficialTeamList[Team Number],OfficialTeamList[Team Name],"",0,))</f>
        <v/>
      </c>
      <c r="N54" s="24">
        <f>_xlfn.XLOOKUP(MotivateDelib[[#This Row],[Team Number]],TournamentData[Team Number],TournamentData[Champion''s Rank],NumberOfTeams+1,0,)</f>
        <v>1</v>
      </c>
      <c r="O54" s="24"/>
    </row>
  </sheetData>
  <pageMargins left="0.7" right="0.7" top="0.75" bottom="0.75" header="0.3" footer="0.3"/>
  <tableParts count="8">
    <tablePart r:id="rId1"/>
    <tablePart r:id="rId2"/>
    <tablePart r:id="rId3"/>
    <tablePart r:id="rId4"/>
    <tablePart r:id="rId5"/>
    <tablePart r:id="rId6"/>
    <tablePart r:id="rId7"/>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bfdc619-4bd5-4a26-8e37-4be4446dc23a" xsi:nil="true"/>
    <lcf76f155ced4ddcb4097134ff3c332f xmlns="7c8aad47-528b-43f4-b615-4953615f0d4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8A997C5561FD94D82BEA37A4242D399" ma:contentTypeVersion="20" ma:contentTypeDescription="Create a new document." ma:contentTypeScope="" ma:versionID="7cae5696f57b22d11ba6a7f9918b81e6">
  <xsd:schema xmlns:xsd="http://www.w3.org/2001/XMLSchema" xmlns:xs="http://www.w3.org/2001/XMLSchema" xmlns:p="http://schemas.microsoft.com/office/2006/metadata/properties" xmlns:ns2="7c8aad47-528b-43f4-b615-4953615f0d4f" xmlns:ns3="c7bc20cd-f3b5-4cb9-9099-b7d1e4c3c983" xmlns:ns4="0bfdc619-4bd5-4a26-8e37-4be4446dc23a" targetNamespace="http://schemas.microsoft.com/office/2006/metadata/properties" ma:root="true" ma:fieldsID="3a32943b1fe7c914c3fd4b30f2445c37" ns2:_="" ns3:_="" ns4:_="">
    <xsd:import namespace="7c8aad47-528b-43f4-b615-4953615f0d4f"/>
    <xsd:import namespace="c7bc20cd-f3b5-4cb9-9099-b7d1e4c3c983"/>
    <xsd:import namespace="0bfdc619-4bd5-4a26-8e37-4be4446dc23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LengthInSecond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8aad47-528b-43f4-b615-4953615f0d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13cef49-2953-4246-9b7f-e3d70b1cf0e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7bc20cd-f3b5-4cb9-9099-b7d1e4c3c98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bfdc619-4bd5-4a26-8e37-4be4446dc23a"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c948275e-acb8-4f67-9f4b-0f18b628c537}" ma:internalName="TaxCatchAll" ma:showField="CatchAllData" ma:web="c7bc20cd-f3b5-4cb9-9099-b7d1e4c3c9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9C8752-A30F-4228-A171-70975D50B508}">
  <ds:schemaRefs>
    <ds:schemaRef ds:uri="http://schemas.microsoft.com/office/2006/metadata/properties"/>
    <ds:schemaRef ds:uri="http://schemas.microsoft.com/office/infopath/2007/PartnerControls"/>
    <ds:schemaRef ds:uri="0bfdc619-4bd5-4a26-8e37-4be4446dc23a"/>
    <ds:schemaRef ds:uri="7c8aad47-528b-43f4-b615-4953615f0d4f"/>
  </ds:schemaRefs>
</ds:datastoreItem>
</file>

<file path=customXml/itemProps2.xml><?xml version="1.0" encoding="utf-8"?>
<ds:datastoreItem xmlns:ds="http://schemas.openxmlformats.org/officeDocument/2006/customXml" ds:itemID="{42F53518-509D-4746-88D0-511FB0EA25D3}">
  <ds:schemaRefs>
    <ds:schemaRef ds:uri="http://schemas.microsoft.com/sharepoint/v3/contenttype/forms"/>
  </ds:schemaRefs>
</ds:datastoreItem>
</file>

<file path=customXml/itemProps3.xml><?xml version="1.0" encoding="utf-8"?>
<ds:datastoreItem xmlns:ds="http://schemas.openxmlformats.org/officeDocument/2006/customXml" ds:itemID="{5336DDFD-C080-4837-B46A-9B921D7ADC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8aad47-528b-43f4-b615-4953615f0d4f"/>
    <ds:schemaRef ds:uri="c7bc20cd-f3b5-4cb9-9099-b7d1e4c3c983"/>
    <ds:schemaRef ds:uri="0bfdc619-4bd5-4a26-8e37-4be4446dc2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Instructions</vt:lpstr>
      <vt:lpstr>Team and Program Information</vt:lpstr>
      <vt:lpstr>Results and Rankings</vt:lpstr>
      <vt:lpstr>Innovation Project Input</vt:lpstr>
      <vt:lpstr>Robot Design Input</vt:lpstr>
      <vt:lpstr>Robot Game Scores</vt:lpstr>
      <vt:lpstr>Core Values Input</vt:lpstr>
      <vt:lpstr>GP Scores</vt:lpstr>
      <vt:lpstr>Area Deliberations</vt:lpstr>
      <vt:lpstr>AwardListLookup</vt:lpstr>
      <vt:lpstr>NumberOfTeams</vt:lpstr>
      <vt:lpstr>NumberofTeamsAdvancing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FLL</dc:creator>
  <cp:keywords/>
  <dc:description/>
  <cp:lastModifiedBy>Christina Milligan</cp:lastModifiedBy>
  <cp:revision/>
  <dcterms:created xsi:type="dcterms:W3CDTF">2015-06-05T18:17:20Z</dcterms:created>
  <dcterms:modified xsi:type="dcterms:W3CDTF">2025-07-30T19:34:08Z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0x01010008A997C5561FD94D82BEA37A4242D399</vt:lpwstr>
  </property>
</Properties>
</file>